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up" sheetId="2" state="visible" r:id="rId2"/>
    <sheet xmlns:r="http://schemas.openxmlformats.org/officeDocument/2006/relationships" name="Reps" sheetId="3" state="visible" r:id="rId3"/>
    <sheet xmlns:r="http://schemas.openxmlformats.org/officeDocument/2006/relationships" name="Quota by Month" sheetId="4" state="visible" r:id="rId4"/>
    <sheet xmlns:r="http://schemas.openxmlformats.org/officeDocument/2006/relationships" name="Closed Sales" sheetId="5" state="visible" r:id="rId5"/>
    <sheet xmlns:r="http://schemas.openxmlformats.org/officeDocument/2006/relationships" name="Pipeline" sheetId="6" state="visible" r:id="rId6"/>
    <sheet xmlns:r="http://schemas.openxmlformats.org/officeDocument/2006/relationships" name="Pace" sheetId="7" state="visible" r:id="rId7"/>
    <sheet xmlns:r="http://schemas.openxmlformats.org/officeDocument/2006/relationships" name="Pipeline Builder" sheetId="8" state="visible" r:id="rId8"/>
    <sheet xmlns:r="http://schemas.openxmlformats.org/officeDocument/2006/relationships" name="Team" sheetId="9" state="visible" r:id="rId9"/>
  </sheets>
  <definedNames/>
  <calcPr calcId="124519" fullCalcOnLoad="1"/>
</workbook>
</file>

<file path=xl/styles.xml><?xml version="1.0" encoding="utf-8"?>
<styleSheet xmlns="http://schemas.openxmlformats.org/spreadsheetml/2006/main">
  <numFmts count="4">
    <numFmt numFmtId="164" formatCode="0.0%"/>
    <numFmt numFmtId="165" formatCode="$#,##0;[Red]-$#,##0"/>
    <numFmt numFmtId="166" formatCode="0.0"/>
    <numFmt numFmtId="167" formatCode="0.0&quot;x&quot;"/>
  </numFmts>
  <fonts count="13">
    <font>
      <name val="Calibri"/>
      <family val="2"/>
      <color theme="1"/>
      <sz val="11"/>
      <scheme val="minor"/>
    </font>
    <font>
      <name val="Arial"/>
      <b val="1"/>
      <color rgb="00FFFFFF"/>
      <sz val="18"/>
    </font>
    <font>
      <name val="Arial"/>
      <color rgb="005B6573"/>
      <sz val="11"/>
    </font>
    <font>
      <name val="Arial"/>
      <b val="1"/>
      <color rgb="005B6573"/>
      <sz val="11"/>
    </font>
    <font>
      <name val="Arial"/>
      <b val="1"/>
      <color rgb="001F4E9A"/>
      <sz val="11"/>
    </font>
    <font>
      <name val="Arial"/>
      <b val="1"/>
      <color rgb="001B2A47"/>
      <sz val="11"/>
    </font>
    <font>
      <name val="Arial"/>
      <b val="1"/>
      <color rgb="007A5410"/>
      <sz val="11"/>
    </font>
    <font>
      <name val="Arial"/>
      <b val="1"/>
      <color rgb="001B2A47"/>
      <sz val="12"/>
    </font>
    <font>
      <name val="Arial"/>
      <color rgb="001F2933"/>
      <sz val="11"/>
    </font>
    <font>
      <name val="Arial"/>
      <color rgb="001F4E9A"/>
      <sz val="11"/>
    </font>
    <font>
      <name val="Arial"/>
      <color rgb="001B2A47"/>
      <sz val="11"/>
    </font>
    <font>
      <name val="Arial"/>
      <b val="1"/>
      <color rgb="00FFFFFF"/>
      <sz val="11"/>
    </font>
    <font>
      <name val="Arial"/>
      <color rgb="00FFFFFF"/>
      <sz val="9"/>
    </font>
  </fonts>
  <fills count="7">
    <fill>
      <patternFill/>
    </fill>
    <fill>
      <patternFill patternType="gray125"/>
    </fill>
    <fill>
      <patternFill patternType="solid">
        <fgColor rgb="001B2A47"/>
      </patternFill>
    </fill>
    <fill>
      <patternFill patternType="solid">
        <fgColor rgb="00EAF2FC"/>
      </patternFill>
    </fill>
    <fill>
      <patternFill patternType="solid">
        <fgColor rgb="00E8EBF0"/>
      </patternFill>
    </fill>
    <fill>
      <patternFill patternType="solid">
        <fgColor rgb="00FFF6E0"/>
      </patternFill>
    </fill>
    <fill>
      <patternFill patternType="solid">
        <fgColor rgb="00DCE7F5"/>
      </patternFill>
    </fill>
  </fills>
  <borders count="6">
    <border>
      <left/>
      <right/>
      <top/>
      <bottom/>
      <diagonal/>
    </border>
    <border>
      <left style="thin">
        <color rgb="00D5DBE5"/>
      </left>
      <right style="thin">
        <color rgb="00D5DBE5"/>
      </right>
      <top style="thin">
        <color rgb="00D5DBE5"/>
      </top>
      <bottom style="thin">
        <color rgb="00D5DBE5"/>
      </bottom>
    </border>
    <border>
      <left style="thick">
        <color rgb="00C9A227"/>
      </left>
      <right style="thin">
        <color rgb="00D5DBE5"/>
      </right>
      <top style="thin">
        <color rgb="00D5DBE5"/>
      </top>
      <bottom style="thin">
        <color rgb="00D5DBE5"/>
      </bottom>
    </border>
    <border>
      <left style="thick">
        <color rgb="00C9A227"/>
      </left>
    </border>
    <border>
      <left style="thick">
        <color rgb="00C9A227"/>
      </left>
      <right/>
      <bottom/>
    </border>
    <border/>
  </borders>
  <cellStyleXfs count="1">
    <xf numFmtId="0" fontId="0" fillId="0" borderId="0"/>
  </cellStyleXfs>
  <cellXfs count="37">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top" wrapText="1" indent="2"/>
    </xf>
    <xf numFmtId="0" fontId="3" fillId="0" borderId="0" applyAlignment="1" pivotButton="0" quotePrefix="0" xfId="0">
      <alignment horizontal="right" vertical="center" indent="1"/>
    </xf>
    <xf numFmtId="0" fontId="4" fillId="3" borderId="1" applyAlignment="1" pivotButton="0" quotePrefix="0" xfId="0">
      <alignment horizontal="center" vertical="center"/>
    </xf>
    <xf numFmtId="0" fontId="5" fillId="4" borderId="1" applyAlignment="1" pivotButton="0" quotePrefix="0" xfId="0">
      <alignment horizontal="center" vertical="center"/>
    </xf>
    <xf numFmtId="0" fontId="6" fillId="5" borderId="2" applyAlignment="1" pivotButton="0" quotePrefix="0" xfId="0">
      <alignment horizontal="center" vertical="center"/>
    </xf>
    <xf numFmtId="0" fontId="7" fillId="6" borderId="0" applyAlignment="1" pivotButton="0" quotePrefix="0" xfId="0">
      <alignment vertical="center" indent="2"/>
    </xf>
    <xf numFmtId="0" fontId="5" fillId="0" borderId="0" applyAlignment="1" pivotButton="0" quotePrefix="0" xfId="0">
      <alignment vertical="top" indent="2"/>
    </xf>
    <xf numFmtId="0" fontId="8" fillId="0" borderId="0" applyAlignment="1" pivotButton="0" quotePrefix="0" xfId="0">
      <alignment vertical="top" wrapText="1" indent="2"/>
    </xf>
    <xf numFmtId="0" fontId="0" fillId="0" borderId="0" applyAlignment="1" pivotButton="0" quotePrefix="0" xfId="0">
      <alignment horizontal="right" vertical="top"/>
    </xf>
    <xf numFmtId="0" fontId="8" fillId="0" borderId="0" applyAlignment="1" pivotButton="0" quotePrefix="0" xfId="0">
      <alignment vertical="top" wrapText="1" indent="1"/>
    </xf>
    <xf numFmtId="0" fontId="5" fillId="0" borderId="0" applyAlignment="1" pivotButton="0" quotePrefix="0" xfId="0">
      <alignment vertical="center" wrapText="1" indent="2"/>
    </xf>
    <xf numFmtId="1" fontId="9" fillId="3" borderId="1" applyAlignment="1" pivotButton="0" quotePrefix="0" xfId="0">
      <alignment horizontal="right" vertical="center" indent="2"/>
    </xf>
    <xf numFmtId="0" fontId="2" fillId="0" borderId="0" applyAlignment="1" pivotButton="0" quotePrefix="0" xfId="0">
      <alignment vertical="center" wrapText="1" indent="1"/>
    </xf>
    <xf numFmtId="0" fontId="10" fillId="4" borderId="1" applyAlignment="1" pivotButton="0" quotePrefix="0" xfId="0">
      <alignment horizontal="left" vertical="center" wrapText="1" indent="2"/>
    </xf>
    <xf numFmtId="9" fontId="9" fillId="3" borderId="1" applyAlignment="1" pivotButton="0" quotePrefix="0" xfId="0">
      <alignment horizontal="right" vertical="center" indent="2"/>
    </xf>
    <xf numFmtId="0" fontId="11" fillId="2" borderId="1" applyAlignment="1" pivotButton="0" quotePrefix="0" xfId="0">
      <alignment horizontal="center" vertical="center" wrapText="1"/>
    </xf>
    <xf numFmtId="1" fontId="10" fillId="4" borderId="1" applyAlignment="1" pivotButton="0" quotePrefix="0" xfId="0">
      <alignment horizontal="right" vertical="center" indent="2"/>
    </xf>
    <xf numFmtId="164" fontId="9" fillId="3" borderId="1" applyAlignment="1" pivotButton="0" quotePrefix="0" xfId="0">
      <alignment horizontal="right" vertical="center" indent="2"/>
    </xf>
    <xf numFmtId="164" fontId="10" fillId="4" borderId="1" applyAlignment="1" pivotButton="0" quotePrefix="0" xfId="0">
      <alignment horizontal="right" vertical="center" indent="2"/>
    </xf>
    <xf numFmtId="0" fontId="5" fillId="0" borderId="0" applyAlignment="1" pivotButton="0" quotePrefix="0" xfId="0">
      <alignment indent="2"/>
    </xf>
    <xf numFmtId="164" fontId="5" fillId="4" borderId="1" applyAlignment="1" pivotButton="0" quotePrefix="0" xfId="0">
      <alignment horizontal="right" vertical="center" indent="2"/>
    </xf>
    <xf numFmtId="0" fontId="9" fillId="3" borderId="1" applyAlignment="1" pivotButton="0" quotePrefix="0" xfId="0">
      <alignment horizontal="left" vertical="center" indent="2"/>
    </xf>
    <xf numFmtId="165" fontId="9" fillId="3" borderId="1" applyAlignment="1" pivotButton="0" quotePrefix="0" xfId="0">
      <alignment horizontal="right" vertical="center" indent="2"/>
    </xf>
    <xf numFmtId="165" fontId="5" fillId="4" borderId="1" applyAlignment="1" pivotButton="0" quotePrefix="0" xfId="0">
      <alignment horizontal="right" vertical="center" indent="2"/>
    </xf>
    <xf numFmtId="0" fontId="12" fillId="0" borderId="0" pivotButton="0" quotePrefix="0" xfId="0"/>
    <xf numFmtId="165" fontId="10" fillId="4" borderId="1" applyAlignment="1" pivotButton="0" quotePrefix="0" xfId="0">
      <alignment horizontal="right" vertical="center" indent="2"/>
    </xf>
    <xf numFmtId="0" fontId="6" fillId="5" borderId="4" applyAlignment="1" pivotButton="0" quotePrefix="0" xfId="0">
      <alignment vertical="center" wrapText="1" indent="2"/>
    </xf>
    <xf numFmtId="9" fontId="10" fillId="4" borderId="1" applyAlignment="1" pivotButton="0" quotePrefix="0" xfId="0">
      <alignment horizontal="right" vertical="center" indent="2"/>
    </xf>
    <xf numFmtId="0" fontId="5" fillId="4" borderId="1" applyAlignment="1" pivotButton="0" quotePrefix="0" xfId="0">
      <alignment horizontal="left" vertical="center" wrapText="1" indent="2"/>
    </xf>
    <xf numFmtId="9" fontId="5" fillId="4" borderId="1" applyAlignment="1" pivotButton="0" quotePrefix="0" xfId="0">
      <alignment horizontal="right" vertical="center" indent="2"/>
    </xf>
    <xf numFmtId="166" fontId="10" fillId="4" borderId="1" applyAlignment="1" pivotButton="0" quotePrefix="0" xfId="0">
      <alignment horizontal="right" vertical="center" indent="2"/>
    </xf>
    <xf numFmtId="167" fontId="10" fillId="4" borderId="1" applyAlignment="1" pivotButton="0" quotePrefix="0" xfId="0">
      <alignment horizontal="right" vertical="center" indent="2"/>
    </xf>
    <xf numFmtId="1" fontId="5" fillId="4" borderId="1" applyAlignment="1" pivotButton="0" quotePrefix="0" xfId="0">
      <alignment horizontal="right" vertical="center" indent="2"/>
    </xf>
    <xf numFmtId="0" fontId="11" fillId="0" borderId="5" applyAlignment="1" pivotButton="0" quotePrefix="0" xfId="0">
      <alignment horizontal="center" vertical="center" wrapText="1"/>
    </xf>
    <xf numFmtId="0" fontId="0" fillId="0" borderId="5" pivotButton="0" quotePrefix="0" xfId="0"/>
  </cellXfs>
  <cellStyles count="1">
    <cellStyle name="Normal" xfId="0" builtinId="0" hidden="0"/>
  </cellStyles>
  <dxfs count="4">
    <dxf>
      <font>
        <color rgb="009AA3AF"/>
      </font>
      <fill>
        <patternFill patternType="solid">
          <fgColor rgb="00F4F6F9"/>
          <bgColor rgb="00F4F6F9"/>
        </patternFill>
      </fill>
    </dxf>
    <dxf>
      <font>
        <b val="1"/>
        <color rgb="008B1A1A"/>
      </font>
      <fill>
        <patternFill patternType="solid">
          <fgColor rgb="00FDE2E1"/>
          <bgColor rgb="00FDE2E1"/>
        </patternFill>
      </fill>
    </dxf>
    <dxf>
      <font>
        <b val="1"/>
        <color rgb="001E6B3A"/>
      </font>
      <fill>
        <patternFill patternType="solid">
          <fgColor rgb="00E3F5E8"/>
          <bgColor rgb="00E3F5E8"/>
        </patternFill>
      </fill>
    </dxf>
    <dxf>
      <font>
        <color rgb="00E8EBF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Target so far vs. actual so far</a:t>
            </a:r>
          </a:p>
        </rich>
      </tx>
    </title>
    <plotArea>
      <lineChart>
        <grouping val="standard"/>
        <ser>
          <idx val="0"/>
          <order val="0"/>
          <tx>
            <strRef>
              <f>'Team'!D6</f>
            </strRef>
          </tx>
          <spPr>
            <a:ln xmlns:a="http://schemas.openxmlformats.org/drawingml/2006/main">
              <a:prstDash val="solid"/>
            </a:ln>
          </spPr>
          <marker>
            <symbol val="none"/>
            <spPr>
              <a:ln xmlns:a="http://schemas.openxmlformats.org/drawingml/2006/main">
                <a:prstDash val="solid"/>
              </a:ln>
            </spPr>
          </marker>
          <cat>
            <numRef>
              <f>'Team'!$A$7:$A$18</f>
            </numRef>
          </cat>
          <val>
            <numRef>
              <f>'Team'!$D$7:$D$18</f>
            </numRef>
          </val>
        </ser>
        <ser>
          <idx val="1"/>
          <order val="1"/>
          <tx>
            <strRef>
              <f>'Team'!E6</f>
            </strRef>
          </tx>
          <spPr>
            <a:ln xmlns:a="http://schemas.openxmlformats.org/drawingml/2006/main">
              <a:prstDash val="solid"/>
            </a:ln>
          </spPr>
          <marker>
            <symbol val="none"/>
            <spPr>
              <a:ln xmlns:a="http://schemas.openxmlformats.org/drawingml/2006/main">
                <a:prstDash val="solid"/>
              </a:ln>
            </spPr>
          </marker>
          <cat>
            <numRef>
              <f>'Team'!$A$7:$A$18</f>
            </numRef>
          </cat>
          <val>
            <numRef>
              <f>'Team'!$E$7:$E$18</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26</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1B2A47"/>
    <outlinePr summaryBelow="1" summaryRight="1"/>
    <pageSetUpPr fitToPage="1"/>
  </sheetPr>
  <dimension ref="A1:F17"/>
  <sheetViews>
    <sheetView showGridLines="0" workbookViewId="0">
      <selection activeCell="A1" sqref="A1"/>
    </sheetView>
  </sheetViews>
  <sheetFormatPr baseColWidth="8" defaultRowHeight="15"/>
  <cols>
    <col width="24" customWidth="1" min="1" max="1"/>
    <col width="26" customWidth="1" min="2" max="2"/>
    <col width="26" customWidth="1" min="3" max="3"/>
    <col width="26" customWidth="1" min="4" max="4"/>
    <col width="26" customWidth="1" min="5" max="5"/>
    <col width="26" customWidth="1" min="6" max="6"/>
  </cols>
  <sheetData>
    <row r="1" ht="36" customHeight="1">
      <c r="A1" s="1" t="inlineStr">
        <is>
          <t>Sales Pacing Tracker: where every rep stands, every month</t>
        </is>
      </c>
    </row>
    <row r="2" ht="46" customHeight="1">
      <c r="A2" s="2" t="inlineStr">
        <is>
          <t>Keep this file all year. Type a few numbers each month; the formulas do the rest. It shows each rep’s quota by month, whether they are ahead or behind, what they need from here, what this month’s pipeline is likely to bring, and how many new opportunities to add now so deals are ready in time.</t>
        </is>
      </c>
    </row>
    <row r="3" ht="24" customHeight="1">
      <c r="A3" s="3" t="inlineStr">
        <is>
          <t>Color key:</t>
        </is>
      </c>
      <c r="B3" s="4" t="inlineStr">
        <is>
          <t>You type</t>
        </is>
      </c>
      <c r="C3" s="5" t="inlineStr">
        <is>
          <t>Calculated</t>
        </is>
      </c>
      <c r="D3" s="6" t="inlineStr">
        <is>
          <t>🔍 Insight</t>
        </is>
      </c>
    </row>
    <row r="5" ht="26" customHeight="1">
      <c r="A5" s="7" t="inlineStr">
        <is>
          <t>How to use it, once a month (about 15 minutes)</t>
        </is>
      </c>
    </row>
    <row r="6" ht="34" customHeight="1">
      <c r="A6" s="8" t="inlineStr">
        <is>
          <t>1. Setup</t>
        </is>
      </c>
      <c r="B6" s="9" t="inlineStr">
        <is>
          <t>Type the plan year, its first month and the month you are in. Set how the year splits by month (even, or heavier in some months).</t>
        </is>
      </c>
    </row>
    <row r="7" ht="34" customHeight="1">
      <c r="A7" s="8" t="inlineStr">
        <is>
          <t>2. Reps and Quota by Month</t>
        </is>
      </c>
      <c r="B7" s="9" t="inlineStr">
        <is>
          <t>One row per rep: ID number, annual quota, start month if hired during the year, average deal size, win rate and sales cycle. Quota by Month spreads each quota over the year; type over any month to change it (a ramp, a territory move).</t>
        </is>
      </c>
    </row>
    <row r="8" ht="34" customHeight="1">
      <c r="A8" s="8" t="inlineStr">
        <is>
          <t>3. Each month: Closed Sales</t>
        </is>
      </c>
      <c r="B8" s="9" t="inlineStr">
        <is>
          <t>Type what each rep closed in each finished month, and what they have closed so far this month.</t>
        </is>
      </c>
    </row>
    <row r="9" ht="34" customHeight="1">
      <c r="A9" s="8" t="inlineStr">
        <is>
          <t>4. Each month: Pipeline</t>
        </is>
      </c>
      <c r="B9" s="9" t="inlineStr">
        <is>
          <t>Type each rep’s open pipeline due to close this month and next month, straight from your CRM.</t>
        </is>
      </c>
    </row>
    <row r="10" ht="34" customHeight="1">
      <c r="A10" s="8" t="inlineStr">
        <is>
          <t>5. Read Pace</t>
        </is>
      </c>
      <c r="B10" s="9" t="inlineStr">
        <is>
          <t>Ahead or behind, what each rep needs per month from here, and whether this month’s pipeline covers it.</t>
        </is>
      </c>
    </row>
    <row r="11" ht="34" customHeight="1">
      <c r="A11" s="8" t="inlineStr">
        <is>
          <t>6. Read Pipeline Builder</t>
        </is>
      </c>
      <c r="B11" s="9" t="inlineStr">
        <is>
          <t>How many new opportunities each rep needs to add now, so deals are ready to close one sales cycle from now.</t>
        </is>
      </c>
    </row>
    <row r="12" ht="34" customHeight="1">
      <c r="A12" s="8" t="inlineStr">
        <is>
          <t>7. Team</t>
        </is>
      </c>
      <c r="B12" s="9" t="inlineStr">
        <is>
          <t>The whole team by month and by quarter: target, actual and the gap, with a chart.</t>
        </is>
      </c>
    </row>
    <row r="14" ht="26" customHeight="1">
      <c r="A14" s="7" t="inlineStr">
        <is>
          <t>Why this beats “what will we close this month?”</t>
        </is>
      </c>
    </row>
    <row r="15" ht="34" customHeight="1">
      <c r="A15" s="10" t="inlineStr">
        <is>
          <t>•</t>
        </is>
      </c>
      <c r="B15" s="11" t="inlineStr">
        <is>
          <t>Most pipeline reviews look at one month. This file carries the whole year: a rep who is ahead needs less each month from here; a rep who is behind needs more, and it says how much.</t>
        </is>
      </c>
    </row>
    <row r="16" ht="34" customHeight="1">
      <c r="A16" s="10" t="inlineStr">
        <is>
          <t>•</t>
        </is>
      </c>
      <c r="B16" s="11" t="inlineStr">
        <is>
          <t>Win rate and sales cycle turn a quota into activity: the deals and opportunities each rep needs, and when they have to be in the pipeline to close in time.</t>
        </is>
      </c>
    </row>
    <row r="17" ht="34" customHeight="1">
      <c r="A17" s="10" t="inlineStr">
        <is>
          <t>•</t>
        </is>
      </c>
      <c r="B17" s="11" t="inlineStr">
        <is>
          <t>Use rep ID numbers (R01, R02 …), not names, if you share the file outside the sales team.</t>
        </is>
      </c>
    </row>
  </sheetData>
  <mergeCells count="14">
    <mergeCell ref="A2:F2"/>
    <mergeCell ref="B12:F12"/>
    <mergeCell ref="B7:F7"/>
    <mergeCell ref="B6:F6"/>
    <mergeCell ref="B16:F16"/>
    <mergeCell ref="A14:F14"/>
    <mergeCell ref="B15:F15"/>
    <mergeCell ref="B10:F10"/>
    <mergeCell ref="A1:F1"/>
    <mergeCell ref="A5:F5"/>
    <mergeCell ref="B11:F11"/>
    <mergeCell ref="B8:F8"/>
    <mergeCell ref="B17:F17"/>
    <mergeCell ref="B9:F9"/>
  </mergeCells>
  <pageMargins left="0.75" right="0.75" top="1" bottom="1" header="0.5" footer="0.5"/>
  <pageSetup orientation="landscape" fitToHeight="0" fitToWidth="1"/>
</worksheet>
</file>

<file path=xl/worksheets/sheet2.xml><?xml version="1.0" encoding="utf-8"?>
<worksheet xmlns="http://schemas.openxmlformats.org/spreadsheetml/2006/main">
  <sheetPr>
    <tabColor rgb="001F4E9A"/>
    <outlinePr summaryBelow="1" summaryRight="1"/>
    <pageSetUpPr fitToPage="1"/>
  </sheetPr>
  <dimension ref="A1:E23"/>
  <sheetViews>
    <sheetView showGridLines="0" workbookViewId="0">
      <pane ySplit="3" topLeftCell="A4" activePane="bottomLeft" state="frozen"/>
      <selection pane="bottomLeft" activeCell="A1" sqref="A1"/>
    </sheetView>
  </sheetViews>
  <sheetFormatPr baseColWidth="8" defaultRowHeight="15"/>
  <cols>
    <col width="34" customWidth="1" min="1" max="1"/>
    <col width="18" customWidth="1" min="2" max="2"/>
    <col width="18" customWidth="1" min="3" max="3"/>
    <col width="20" customWidth="1" min="4" max="4"/>
    <col width="40" customWidth="1" min="5" max="5"/>
  </cols>
  <sheetData>
    <row r="1" ht="36" customHeight="1">
      <c r="A1" s="1" t="inlineStr">
        <is>
          <t>Setup: the plan year and how it splits by month</t>
        </is>
      </c>
    </row>
    <row r="2" ht="46" customHeight="1">
      <c r="A2" s="2" t="inlineStr">
        <is>
          <t>Type the year, its first month and the month you are in now. Then set each month’s share of the year. Even is 8.3% a month; many teams make the last month of each quarter heavier.</t>
        </is>
      </c>
    </row>
    <row r="3" ht="24" customHeight="1">
      <c r="A3" s="3" t="inlineStr">
        <is>
          <t>Color key:</t>
        </is>
      </c>
      <c r="B3" s="4" t="inlineStr">
        <is>
          <t>You type</t>
        </is>
      </c>
      <c r="C3" s="5" t="inlineStr">
        <is>
          <t>Calculated</t>
        </is>
      </c>
      <c r="D3" s="6" t="inlineStr">
        <is>
          <t>🔍 Insight</t>
        </is>
      </c>
    </row>
    <row r="4" ht="26" customHeight="1">
      <c r="A4" s="7" t="inlineStr">
        <is>
          <t>The year</t>
        </is>
      </c>
    </row>
    <row r="5" ht="30" customHeight="1">
      <c r="A5" s="12" t="inlineStr">
        <is>
          <t>Plan year</t>
        </is>
      </c>
      <c r="C5" s="13" t="n">
        <v>2027</v>
      </c>
      <c r="E5" s="14" t="inlineStr">
        <is>
          <t>The year the plan covers.</t>
        </is>
      </c>
    </row>
    <row r="6" ht="30" customHeight="1">
      <c r="A6" s="12" t="inlineStr">
        <is>
          <t>First month of the plan year (1 = January)</t>
        </is>
      </c>
      <c r="C6" s="13" t="n">
        <v>1</v>
      </c>
      <c r="E6" s="14" t="inlineStr">
        <is>
          <t>Most plans start in January (1).</t>
        </is>
      </c>
    </row>
    <row r="7" ht="30" customHeight="1">
      <c r="A7" s="12" t="inlineStr">
        <is>
          <t>The month you are in (1 = the plan year’s first month)</t>
        </is>
      </c>
      <c r="B7" s="15">
        <f>INDEX($B$11:$B$22,$C$7)</f>
        <v/>
      </c>
      <c r="C7" s="13" t="n">
        <v>6</v>
      </c>
      <c r="E7" s="14" t="inlineStr">
        <is>
          <t>Months before this are finished. Change it at the start of each month.</t>
        </is>
      </c>
    </row>
    <row r="8" ht="30" customHeight="1">
      <c r="A8" s="12" t="inlineStr">
        <is>
          <t>Close rate on deals that are due (team, optional)</t>
        </is>
      </c>
      <c r="C8" s="16" t="n">
        <v>0.5</v>
      </c>
      <c r="E8" s="14" t="inlineStr">
        <is>
          <t>Of the dollars due to close in a month, the share that actually closed that month, from your CRM history. Leave blank to use each rep’s win rate. A rep’s own rate on Reps, column H, overrides it. Ridgeline example: 50%.</t>
        </is>
      </c>
    </row>
    <row r="10" ht="48" customHeight="1">
      <c r="A10" s="17" t="inlineStr">
        <is>
          <t>Month of the plan year</t>
        </is>
      </c>
      <c r="B10" s="17" t="inlineStr">
        <is>
          <t>Month</t>
        </is>
      </c>
      <c r="C10" s="17" t="inlineStr">
        <is>
          <t>Share of the year</t>
        </is>
      </c>
      <c r="D10" s="17" t="inlineStr">
        <is>
          <t>Share so far (through this month)</t>
        </is>
      </c>
      <c r="E10" s="17" t="inlineStr">
        <is>
          <t>Note</t>
        </is>
      </c>
    </row>
    <row r="11" ht="21" customHeight="1">
      <c r="A11" s="18" t="n">
        <v>1</v>
      </c>
      <c r="B11" s="15">
        <f>TEXT(DATE($C$5,$C$6+0,1),"mmm yyyy")</f>
        <v/>
      </c>
      <c r="C11" s="19" t="n">
        <v>0.05</v>
      </c>
      <c r="D11" s="20">
        <f>SUM($C$11:C11)</f>
        <v/>
      </c>
    </row>
    <row r="12" ht="21" customHeight="1">
      <c r="A12" s="18" t="n">
        <v>2</v>
      </c>
      <c r="B12" s="15">
        <f>TEXT(DATE($C$5,$C$6+1,1),"mmm yyyy")</f>
        <v/>
      </c>
      <c r="C12" s="19" t="n">
        <v>0.06</v>
      </c>
      <c r="D12" s="20">
        <f>SUM($C$11:C12)</f>
        <v/>
      </c>
    </row>
    <row r="13" ht="21" customHeight="1">
      <c r="A13" s="18" t="n">
        <v>3</v>
      </c>
      <c r="B13" s="15">
        <f>TEXT(DATE($C$5,$C$6+2,1),"mmm yyyy")</f>
        <v/>
      </c>
      <c r="C13" s="19" t="n">
        <v>0.07000000000000001</v>
      </c>
      <c r="D13" s="20">
        <f>SUM($C$11:C13)</f>
        <v/>
      </c>
    </row>
    <row r="14" ht="21" customHeight="1">
      <c r="A14" s="18" t="n">
        <v>4</v>
      </c>
      <c r="B14" s="15">
        <f>TEXT(DATE($C$5,$C$6+3,1),"mmm yyyy")</f>
        <v/>
      </c>
      <c r="C14" s="19" t="n">
        <v>0.07000000000000001</v>
      </c>
      <c r="D14" s="20">
        <f>SUM($C$11:C14)</f>
        <v/>
      </c>
    </row>
    <row r="15" ht="21" customHeight="1">
      <c r="A15" s="18" t="n">
        <v>5</v>
      </c>
      <c r="B15" s="15">
        <f>TEXT(DATE($C$5,$C$6+4,1),"mmm yyyy")</f>
        <v/>
      </c>
      <c r="C15" s="19" t="n">
        <v>0.07000000000000001</v>
      </c>
      <c r="D15" s="20">
        <f>SUM($C$11:C15)</f>
        <v/>
      </c>
    </row>
    <row r="16" ht="21" customHeight="1">
      <c r="A16" s="18" t="n">
        <v>6</v>
      </c>
      <c r="B16" s="15">
        <f>TEXT(DATE($C$5,$C$6+5,1),"mmm yyyy")</f>
        <v/>
      </c>
      <c r="C16" s="19" t="n">
        <v>0.08</v>
      </c>
      <c r="D16" s="20">
        <f>SUM($C$11:C16)</f>
        <v/>
      </c>
    </row>
    <row r="17" ht="21" customHeight="1">
      <c r="A17" s="18" t="n">
        <v>7</v>
      </c>
      <c r="B17" s="15">
        <f>TEXT(DATE($C$5,$C$6+6,1),"mmm yyyy")</f>
        <v/>
      </c>
      <c r="C17" s="19" t="n">
        <v>0.09</v>
      </c>
      <c r="D17" s="20">
        <f>SUM($C$11:C17)</f>
        <v/>
      </c>
    </row>
    <row r="18" ht="21" customHeight="1">
      <c r="A18" s="18" t="n">
        <v>8</v>
      </c>
      <c r="B18" s="15">
        <f>TEXT(DATE($C$5,$C$6+7,1),"mmm yyyy")</f>
        <v/>
      </c>
      <c r="C18" s="19" t="n">
        <v>0.09</v>
      </c>
      <c r="D18" s="20">
        <f>SUM($C$11:C18)</f>
        <v/>
      </c>
    </row>
    <row r="19" ht="21" customHeight="1">
      <c r="A19" s="18" t="n">
        <v>9</v>
      </c>
      <c r="B19" s="15">
        <f>TEXT(DATE($C$5,$C$6+8,1),"mmm yyyy")</f>
        <v/>
      </c>
      <c r="C19" s="19" t="n">
        <v>0.1</v>
      </c>
      <c r="D19" s="20">
        <f>SUM($C$11:C19)</f>
        <v/>
      </c>
    </row>
    <row r="20" ht="21" customHeight="1">
      <c r="A20" s="18" t="n">
        <v>10</v>
      </c>
      <c r="B20" s="15">
        <f>TEXT(DATE($C$5,$C$6+9,1),"mmm yyyy")</f>
        <v/>
      </c>
      <c r="C20" s="19" t="n">
        <v>0.1</v>
      </c>
      <c r="D20" s="20">
        <f>SUM($C$11:C20)</f>
        <v/>
      </c>
    </row>
    <row r="21" ht="21" customHeight="1">
      <c r="A21" s="18" t="n">
        <v>11</v>
      </c>
      <c r="B21" s="15">
        <f>TEXT(DATE($C$5,$C$6+10,1),"mmm yyyy")</f>
        <v/>
      </c>
      <c r="C21" s="19" t="n">
        <v>0.1</v>
      </c>
      <c r="D21" s="20">
        <f>SUM($C$11:C21)</f>
        <v/>
      </c>
    </row>
    <row r="22" ht="21" customHeight="1">
      <c r="A22" s="18" t="n">
        <v>12</v>
      </c>
      <c r="B22" s="15">
        <f>TEXT(DATE($C$5,$C$6+11,1),"mmm yyyy")</f>
        <v/>
      </c>
      <c r="C22" s="19" t="n">
        <v>0.12</v>
      </c>
      <c r="D22" s="20">
        <f>SUM($C$11:C22)</f>
        <v/>
      </c>
    </row>
    <row r="23" ht="21" customHeight="1">
      <c r="A23" s="21" t="inlineStr">
        <is>
          <t>Total (must be 100%)</t>
        </is>
      </c>
      <c r="C23" s="22">
        <f>SUM(C11:C22)</f>
        <v/>
      </c>
      <c r="E23" s="15">
        <f>IF(ROUND(C23,3)=1,"Adds to 100%. Good.","Shares add to "&amp;TEXT(C23,"0.0%")&amp;". Fix them so they add to 100%.")</f>
        <v/>
      </c>
    </row>
  </sheetData>
  <mergeCells count="3">
    <mergeCell ref="A2:E2"/>
    <mergeCell ref="A1:E1"/>
    <mergeCell ref="A4:E4"/>
  </mergeCells>
  <dataValidations count="2">
    <dataValidation sqref="C6 C7" showDropDown="0" showInputMessage="0" showErrorMessage="1" allowBlank="0" error="Type 1 to 12." type="whole" operator="between">
      <formula1>1</formula1>
      <formula2>12</formula2>
    </dataValidation>
    <dataValidation sqref="C11:C22" showDropDown="0" showInputMessage="0" showErrorMessage="1" allowBlank="0" error="Type a percent." type="decimal" operator="between">
      <formula1>0</formula1>
      <formula2>1</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1F4E9A"/>
    <outlinePr summaryBelow="1" summaryRight="1"/>
    <pageSetUpPr fitToPage="1"/>
  </sheetPr>
  <dimension ref="A1:I37"/>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7" customWidth="1" min="3" max="3"/>
    <col width="14" customWidth="1" min="4" max="4"/>
    <col width="16" customWidth="1" min="5" max="5"/>
    <col width="13" customWidth="1" min="6" max="6"/>
    <col width="14" customWidth="1" min="7" max="7"/>
    <col width="18" customWidth="1" min="8" max="8"/>
    <col width="30" customWidth="1" min="9" max="9"/>
  </cols>
  <sheetData>
    <row r="1" ht="36" customHeight="1">
      <c r="A1" s="1" t="inlineStr">
        <is>
          <t>Reps: one row per rep</t>
        </is>
      </c>
    </row>
    <row r="2" ht="46" customHeight="1">
      <c r="A2" s="2" t="inlineStr">
        <is>
          <t>Type each rep once a year. Use ID numbers (R01, R02 …) instead of names if the file will be shared. From your CRM: win rate is won deals ÷ all opportunities created (including deals that stalled); sales cycle is the usual months from first meeting to signature.</t>
        </is>
      </c>
    </row>
    <row r="3" ht="24" customHeight="1">
      <c r="A3" s="3" t="inlineStr">
        <is>
          <t>Color key:</t>
        </is>
      </c>
      <c r="B3" s="4" t="inlineStr">
        <is>
          <t>You type</t>
        </is>
      </c>
      <c r="C3" s="5" t="inlineStr">
        <is>
          <t>Calculated</t>
        </is>
      </c>
      <c r="D3" s="6" t="inlineStr">
        <is>
          <t>🔍 Insight</t>
        </is>
      </c>
    </row>
    <row r="6" ht="48" customHeight="1">
      <c r="A6" s="17" t="inlineStr">
        <is>
          <t>Rep (ID or name)</t>
        </is>
      </c>
      <c r="B6" s="17" t="inlineStr">
        <is>
          <t>Territory</t>
        </is>
      </c>
      <c r="C6" s="17" t="inlineStr">
        <is>
          <t>Quota for the year ($)</t>
        </is>
      </c>
      <c r="D6" s="17" t="inlineStr">
        <is>
          <t>Start month (if hired during the year)</t>
        </is>
      </c>
      <c r="E6" s="17" t="inlineStr">
        <is>
          <t>Average deal ($)</t>
        </is>
      </c>
      <c r="F6" s="17" t="inlineStr">
        <is>
          <t>Win rate (won ÷ all opportunities)</t>
        </is>
      </c>
      <c r="G6" s="17" t="inlineStr">
        <is>
          <t>Sales cycle (months)</t>
        </is>
      </c>
      <c r="H6" s="17" t="inlineStr">
        <is>
          <t>Close rate on deals that are due (optional)</t>
        </is>
      </c>
      <c r="I6" s="17" t="inlineStr">
        <is>
          <t>Notes</t>
        </is>
      </c>
    </row>
    <row r="7" ht="21" customHeight="1">
      <c r="A7" s="23" t="inlineStr">
        <is>
          <t>R01</t>
        </is>
      </c>
      <c r="B7" s="23" t="inlineStr">
        <is>
          <t>Northwest</t>
        </is>
      </c>
      <c r="C7" s="24" t="n">
        <v>736435</v>
      </c>
      <c r="D7" s="13" t="n"/>
      <c r="E7" s="24" t="n">
        <v>19683</v>
      </c>
      <c r="F7" s="16" t="n">
        <v>0.19</v>
      </c>
      <c r="G7" s="13" t="n">
        <v>2</v>
      </c>
      <c r="H7" s="16" t="n"/>
      <c r="I7" s="23" t="n"/>
    </row>
    <row r="8" ht="21" customHeight="1">
      <c r="A8" s="23" t="inlineStr">
        <is>
          <t>R02</t>
        </is>
      </c>
      <c r="B8" s="23" t="inlineStr">
        <is>
          <t>Southwest</t>
        </is>
      </c>
      <c r="C8" s="24" t="n">
        <v>500004</v>
      </c>
      <c r="D8" s="13" t="n"/>
      <c r="E8" s="24" t="n">
        <v>20853</v>
      </c>
      <c r="F8" s="16" t="n">
        <v>0.27</v>
      </c>
      <c r="G8" s="13" t="n">
        <v>2</v>
      </c>
      <c r="H8" s="16" t="n"/>
      <c r="I8" s="23" t="n"/>
    </row>
    <row r="9" ht="21" customHeight="1">
      <c r="A9" s="23" t="inlineStr">
        <is>
          <t>R03</t>
        </is>
      </c>
      <c r="B9" s="23" t="inlineStr">
        <is>
          <t>Texas</t>
        </is>
      </c>
      <c r="C9" s="24" t="n">
        <v>1008386</v>
      </c>
      <c r="D9" s="13" t="n"/>
      <c r="E9" s="24" t="n">
        <v>46961</v>
      </c>
      <c r="F9" s="16" t="n">
        <v>0.33</v>
      </c>
      <c r="G9" s="13" t="n">
        <v>2</v>
      </c>
      <c r="H9" s="16" t="n">
        <v>0.65</v>
      </c>
      <c r="I9" s="23" t="inlineStr">
        <is>
          <t>Example: closes about 65% of deals that are due</t>
        </is>
      </c>
    </row>
    <row r="10" ht="21" customHeight="1">
      <c r="A10" s="23" t="inlineStr">
        <is>
          <t>R04</t>
        </is>
      </c>
      <c r="B10" s="23" t="inlineStr">
        <is>
          <t>Great Lakes</t>
        </is>
      </c>
      <c r="C10" s="24" t="n">
        <v>657678</v>
      </c>
      <c r="D10" s="13" t="n"/>
      <c r="E10" s="24" t="n">
        <v>23315</v>
      </c>
      <c r="F10" s="16" t="n">
        <v>0.33</v>
      </c>
      <c r="G10" s="13" t="n">
        <v>2</v>
      </c>
      <c r="H10" s="16" t="n"/>
      <c r="I10" s="23" t="n"/>
    </row>
    <row r="11" ht="21" customHeight="1">
      <c r="A11" s="23" t="inlineStr">
        <is>
          <t>R05</t>
        </is>
      </c>
      <c r="B11" s="23" t="inlineStr">
        <is>
          <t>Southeast</t>
        </is>
      </c>
      <c r="C11" s="24" t="n">
        <v>764584</v>
      </c>
      <c r="D11" s="13" t="n"/>
      <c r="E11" s="24" t="n">
        <v>25941</v>
      </c>
      <c r="F11" s="16" t="n">
        <v>0.37</v>
      </c>
      <c r="G11" s="13" t="n">
        <v>2</v>
      </c>
      <c r="H11" s="16" t="n"/>
      <c r="I11" s="23" t="n"/>
    </row>
    <row r="12" ht="21" customHeight="1">
      <c r="A12" s="23" t="inlineStr">
        <is>
          <t>R06</t>
        </is>
      </c>
      <c r="B12" s="23" t="inlineStr">
        <is>
          <t>Florida</t>
        </is>
      </c>
      <c r="C12" s="24" t="n">
        <v>540170</v>
      </c>
      <c r="D12" s="13" t="n"/>
      <c r="E12" s="24" t="n">
        <v>25336</v>
      </c>
      <c r="F12" s="16" t="n">
        <v>0.27</v>
      </c>
      <c r="G12" s="13" t="n">
        <v>2</v>
      </c>
      <c r="H12" s="16" t="n"/>
      <c r="I12" s="23" t="n"/>
    </row>
    <row r="13" ht="21" customHeight="1">
      <c r="A13" s="23" t="inlineStr">
        <is>
          <t>R07</t>
        </is>
      </c>
      <c r="B13" s="23" t="inlineStr">
        <is>
          <t>Mid-Atlantic</t>
        </is>
      </c>
      <c r="C13" s="24" t="n">
        <v>850558</v>
      </c>
      <c r="D13" s="13" t="n"/>
      <c r="E13" s="24" t="n">
        <v>26046</v>
      </c>
      <c r="F13" s="16" t="n">
        <v>0.38</v>
      </c>
      <c r="G13" s="13" t="n">
        <v>2</v>
      </c>
      <c r="H13" s="16" t="n"/>
      <c r="I13" s="23" t="n"/>
    </row>
    <row r="14" ht="21" customHeight="1">
      <c r="A14" s="23" t="inlineStr">
        <is>
          <t>R08</t>
        </is>
      </c>
      <c r="B14" s="23" t="inlineStr">
        <is>
          <t>Northeast</t>
        </is>
      </c>
      <c r="C14" s="24" t="n">
        <v>865844</v>
      </c>
      <c r="D14" s="13" t="n"/>
      <c r="E14" s="24" t="n">
        <v>32315</v>
      </c>
      <c r="F14" s="16" t="n">
        <v>0.39</v>
      </c>
      <c r="G14" s="13" t="n">
        <v>2</v>
      </c>
      <c r="H14" s="16" t="n">
        <v>0.65</v>
      </c>
      <c r="I14" s="23" t="inlineStr">
        <is>
          <t>Example: closes about 65% of deals that are due</t>
        </is>
      </c>
    </row>
    <row r="15" ht="21" customHeight="1">
      <c r="A15" s="23" t="inlineStr">
        <is>
          <t>R09</t>
        </is>
      </c>
      <c r="B15" s="23" t="inlineStr">
        <is>
          <t>New England</t>
        </is>
      </c>
      <c r="C15" s="24" t="n">
        <v>359083</v>
      </c>
      <c r="D15" s="13" t="n"/>
      <c r="E15" s="24" t="n">
        <v>20642</v>
      </c>
      <c r="F15" s="16" t="n">
        <v>0.27</v>
      </c>
      <c r="G15" s="13" t="n">
        <v>2</v>
      </c>
      <c r="H15" s="16" t="n"/>
      <c r="I15" s="23" t="n"/>
    </row>
    <row r="16" ht="21" customHeight="1">
      <c r="A16" s="23" t="inlineStr">
        <is>
          <t>R10</t>
        </is>
      </c>
      <c r="B16" s="23" t="inlineStr">
        <is>
          <t>Ohio Valley</t>
        </is>
      </c>
      <c r="C16" s="24" t="n">
        <v>376779</v>
      </c>
      <c r="D16" s="13" t="n"/>
      <c r="E16" s="24" t="n">
        <v>22700</v>
      </c>
      <c r="F16" s="16" t="n">
        <v>0.38</v>
      </c>
      <c r="G16" s="13" t="n">
        <v>2</v>
      </c>
      <c r="H16" s="16" t="n"/>
      <c r="I16" s="23" t="n"/>
    </row>
    <row r="17" ht="21" customHeight="1">
      <c r="A17" s="23" t="inlineStr">
        <is>
          <t>R11</t>
        </is>
      </c>
      <c r="B17" s="23" t="inlineStr">
        <is>
          <t>Plains</t>
        </is>
      </c>
      <c r="C17" s="24" t="n">
        <v>291723</v>
      </c>
      <c r="D17" s="13" t="n"/>
      <c r="E17" s="24" t="n">
        <v>31514</v>
      </c>
      <c r="F17" s="16" t="n">
        <v>0.18</v>
      </c>
      <c r="G17" s="13" t="n">
        <v>2</v>
      </c>
      <c r="H17" s="16" t="n"/>
      <c r="I17" s="23" t="n"/>
    </row>
    <row r="18" ht="21" customHeight="1">
      <c r="A18" s="23" t="inlineStr">
        <is>
          <t>R12</t>
        </is>
      </c>
      <c r="B18" s="23" t="inlineStr">
        <is>
          <t>Mountain</t>
        </is>
      </c>
      <c r="C18" s="24" t="n">
        <v>473937</v>
      </c>
      <c r="D18" s="13" t="n"/>
      <c r="E18" s="24" t="n">
        <v>18760</v>
      </c>
      <c r="F18" s="16" t="n">
        <v>0.28</v>
      </c>
      <c r="G18" s="13" t="n">
        <v>2</v>
      </c>
      <c r="H18" s="16" t="n"/>
      <c r="I18" s="23" t="n"/>
    </row>
    <row r="19" ht="21" customHeight="1">
      <c r="A19" s="23" t="inlineStr">
        <is>
          <t>New hire</t>
        </is>
      </c>
      <c r="B19" s="23" t="inlineStr">
        <is>
          <t>To be decided</t>
        </is>
      </c>
      <c r="C19" s="24" t="n">
        <v>306625</v>
      </c>
      <c r="D19" s="13" t="n">
        <v>1</v>
      </c>
      <c r="E19" s="24" t="n">
        <v>24000</v>
      </c>
      <c r="F19" s="16" t="n">
        <v>0.25</v>
      </c>
      <c r="G19" s="13" t="n">
        <v>2</v>
      </c>
      <c r="H19" s="16" t="n"/>
      <c r="I19" s="23" t="inlineStr">
        <is>
          <t>Planned January hire: $306,625 is the share a new rep can carry while ramping</t>
        </is>
      </c>
    </row>
    <row r="20" ht="21" customHeight="1">
      <c r="A20" s="23" t="n"/>
      <c r="B20" s="23" t="n"/>
      <c r="C20" s="24" t="n"/>
      <c r="D20" s="13" t="n"/>
      <c r="E20" s="24" t="n"/>
      <c r="F20" s="16" t="n"/>
      <c r="G20" s="13" t="n"/>
      <c r="H20" s="16" t="n"/>
      <c r="I20" s="23" t="n"/>
    </row>
    <row r="21" ht="21" customHeight="1">
      <c r="A21" s="23" t="n"/>
      <c r="B21" s="23" t="n"/>
      <c r="C21" s="24" t="n"/>
      <c r="D21" s="13" t="n"/>
      <c r="E21" s="24" t="n"/>
      <c r="F21" s="16" t="n"/>
      <c r="G21" s="13" t="n"/>
      <c r="H21" s="16" t="n"/>
      <c r="I21" s="23" t="n"/>
    </row>
    <row r="22" ht="21" customHeight="1">
      <c r="A22" s="23" t="n"/>
      <c r="B22" s="23" t="n"/>
      <c r="C22" s="24" t="n"/>
      <c r="D22" s="13" t="n"/>
      <c r="E22" s="24" t="n"/>
      <c r="F22" s="16" t="n"/>
      <c r="G22" s="13" t="n"/>
      <c r="H22" s="16" t="n"/>
      <c r="I22" s="23" t="n"/>
    </row>
    <row r="23" ht="21" customHeight="1">
      <c r="A23" s="23" t="n"/>
      <c r="B23" s="23" t="n"/>
      <c r="C23" s="24" t="n"/>
      <c r="D23" s="13" t="n"/>
      <c r="E23" s="24" t="n"/>
      <c r="F23" s="16" t="n"/>
      <c r="G23" s="13" t="n"/>
      <c r="H23" s="16" t="n"/>
      <c r="I23" s="23" t="n"/>
    </row>
    <row r="24" ht="21" customHeight="1">
      <c r="A24" s="23" t="n"/>
      <c r="B24" s="23" t="n"/>
      <c r="C24" s="24" t="n"/>
      <c r="D24" s="13" t="n"/>
      <c r="E24" s="24" t="n"/>
      <c r="F24" s="16" t="n"/>
      <c r="G24" s="13" t="n"/>
      <c r="H24" s="16" t="n"/>
      <c r="I24" s="23" t="n"/>
    </row>
    <row r="25" ht="21" customHeight="1">
      <c r="A25" s="23" t="n"/>
      <c r="B25" s="23" t="n"/>
      <c r="C25" s="24" t="n"/>
      <c r="D25" s="13" t="n"/>
      <c r="E25" s="24" t="n"/>
      <c r="F25" s="16" t="n"/>
      <c r="G25" s="13" t="n"/>
      <c r="H25" s="16" t="n"/>
      <c r="I25" s="23" t="n"/>
    </row>
    <row r="26" ht="21" customHeight="1">
      <c r="A26" s="23" t="n"/>
      <c r="B26" s="23" t="n"/>
      <c r="C26" s="24" t="n"/>
      <c r="D26" s="13" t="n"/>
      <c r="E26" s="24" t="n"/>
      <c r="F26" s="16" t="n"/>
      <c r="G26" s="13" t="n"/>
      <c r="H26" s="16" t="n"/>
      <c r="I26" s="23" t="n"/>
    </row>
    <row r="27" ht="21" customHeight="1">
      <c r="A27" s="23" t="n"/>
      <c r="B27" s="23" t="n"/>
      <c r="C27" s="24" t="n"/>
      <c r="D27" s="13" t="n"/>
      <c r="E27" s="24" t="n"/>
      <c r="F27" s="16" t="n"/>
      <c r="G27" s="13" t="n"/>
      <c r="H27" s="16" t="n"/>
      <c r="I27" s="23" t="n"/>
    </row>
    <row r="28" ht="21" customHeight="1">
      <c r="A28" s="23" t="n"/>
      <c r="B28" s="23" t="n"/>
      <c r="C28" s="24" t="n"/>
      <c r="D28" s="13" t="n"/>
      <c r="E28" s="24" t="n"/>
      <c r="F28" s="16" t="n"/>
      <c r="G28" s="13" t="n"/>
      <c r="H28" s="16" t="n"/>
      <c r="I28" s="23" t="n"/>
    </row>
    <row r="29" ht="21" customHeight="1">
      <c r="A29" s="23" t="n"/>
      <c r="B29" s="23" t="n"/>
      <c r="C29" s="24" t="n"/>
      <c r="D29" s="13" t="n"/>
      <c r="E29" s="24" t="n"/>
      <c r="F29" s="16" t="n"/>
      <c r="G29" s="13" t="n"/>
      <c r="H29" s="16" t="n"/>
      <c r="I29" s="23" t="n"/>
    </row>
    <row r="30" ht="21" customHeight="1">
      <c r="A30" s="23" t="n"/>
      <c r="B30" s="23" t="n"/>
      <c r="C30" s="24" t="n"/>
      <c r="D30" s="13" t="n"/>
      <c r="E30" s="24" t="n"/>
      <c r="F30" s="16" t="n"/>
      <c r="G30" s="13" t="n"/>
      <c r="H30" s="16" t="n"/>
      <c r="I30" s="23" t="n"/>
    </row>
    <row r="31" ht="21" customHeight="1">
      <c r="A31" s="23" t="n"/>
      <c r="B31" s="23" t="n"/>
      <c r="C31" s="24" t="n"/>
      <c r="D31" s="13" t="n"/>
      <c r="E31" s="24" t="n"/>
      <c r="F31" s="16" t="n"/>
      <c r="G31" s="13" t="n"/>
      <c r="H31" s="16" t="n"/>
      <c r="I31" s="23" t="n"/>
    </row>
    <row r="32" ht="21" customHeight="1">
      <c r="A32" s="23" t="n"/>
      <c r="B32" s="23" t="n"/>
      <c r="C32" s="24" t="n"/>
      <c r="D32" s="13" t="n"/>
      <c r="E32" s="24" t="n"/>
      <c r="F32" s="16" t="n"/>
      <c r="G32" s="13" t="n"/>
      <c r="H32" s="16" t="n"/>
      <c r="I32" s="23" t="n"/>
    </row>
    <row r="33" ht="21" customHeight="1">
      <c r="A33" s="23" t="n"/>
      <c r="B33" s="23" t="n"/>
      <c r="C33" s="24" t="n"/>
      <c r="D33" s="13" t="n"/>
      <c r="E33" s="24" t="n"/>
      <c r="F33" s="16" t="n"/>
      <c r="G33" s="13" t="n"/>
      <c r="H33" s="16" t="n"/>
      <c r="I33" s="23" t="n"/>
    </row>
    <row r="34" ht="21" customHeight="1">
      <c r="A34" s="23" t="n"/>
      <c r="B34" s="23" t="n"/>
      <c r="C34" s="24" t="n"/>
      <c r="D34" s="13" t="n"/>
      <c r="E34" s="24" t="n"/>
      <c r="F34" s="16" t="n"/>
      <c r="G34" s="13" t="n"/>
      <c r="H34" s="16" t="n"/>
      <c r="I34" s="23" t="n"/>
    </row>
    <row r="35" ht="21" customHeight="1">
      <c r="A35" s="23" t="n"/>
      <c r="B35" s="23" t="n"/>
      <c r="C35" s="24" t="n"/>
      <c r="D35" s="13" t="n"/>
      <c r="E35" s="24" t="n"/>
      <c r="F35" s="16" t="n"/>
      <c r="G35" s="13" t="n"/>
      <c r="H35" s="16" t="n"/>
      <c r="I35" s="23" t="n"/>
    </row>
    <row r="36" ht="21" customHeight="1">
      <c r="A36" s="23" t="n"/>
      <c r="B36" s="23" t="n"/>
      <c r="C36" s="24" t="n"/>
      <c r="D36" s="13" t="n"/>
      <c r="E36" s="24" t="n"/>
      <c r="F36" s="16" t="n"/>
      <c r="G36" s="13" t="n"/>
      <c r="H36" s="16" t="n"/>
      <c r="I36" s="23" t="n"/>
    </row>
    <row r="37">
      <c r="A37" s="21" t="inlineStr">
        <is>
          <t>Total</t>
        </is>
      </c>
      <c r="C37" s="25">
        <f>SUM(C7:C36)</f>
        <v/>
      </c>
    </row>
  </sheetData>
  <mergeCells count="2">
    <mergeCell ref="A1:I1"/>
    <mergeCell ref="A2:I2"/>
  </mergeCells>
  <dataValidations count="3">
    <dataValidation sqref="F7:F36 H7:H36" showDropDown="0" showInputMessage="0" showErrorMessage="1" allowBlank="1" error="Type a percent." type="decimal" operator="between">
      <formula1>0</formula1>
      <formula2>1</formula2>
    </dataValidation>
    <dataValidation sqref="G7:G36" showDropDown="0" showInputMessage="0" showErrorMessage="1" allowBlank="1" error="Months, 0 to 24." type="whole" operator="between">
      <formula1>0</formula1>
      <formula2>24</formula2>
    </dataValidation>
    <dataValidation sqref="D7:D36" showDropDown="0" showInputMessage="0" showErrorMessage="1" allowBlank="1" error="Month of the plan year, 1 to 12." type="whole" operator="between">
      <formula1>1</formula1>
      <formula2>12</formula2>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1B2A47"/>
    <outlinePr summaryBelow="1" summaryRight="1"/>
    <pageSetUpPr fitToPage="1"/>
  </sheetPr>
  <dimension ref="A1:N71"/>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5" customWidth="1" min="14" max="14"/>
  </cols>
  <sheetData>
    <row r="1" ht="36" customHeight="1">
      <c r="A1" s="1" t="inlineStr">
        <is>
          <t>Quota by Month: each rep’s quota, month by month</t>
        </is>
      </c>
    </row>
    <row r="2" ht="46" customHeight="1">
      <c r="A2" s="2" t="inlineStr">
        <is>
          <t>The top table spreads each rep’s yearly quota over the months they work, using the split on Setup. To change a month (a ramp, a leave, a territory move), type the new amount in the same spot in the lower table; the top table uses it. Change future months only.</t>
        </is>
      </c>
    </row>
    <row r="3" ht="24" customHeight="1">
      <c r="A3" s="3" t="inlineStr">
        <is>
          <t>Color key:</t>
        </is>
      </c>
      <c r="B3" s="4" t="inlineStr">
        <is>
          <t>You type</t>
        </is>
      </c>
      <c r="C3" s="5" t="inlineStr">
        <is>
          <t>Calculated</t>
        </is>
      </c>
      <c r="D3" s="6" t="inlineStr">
        <is>
          <t>🔍 Insight</t>
        </is>
      </c>
    </row>
    <row r="5" ht="6" customHeight="1">
      <c r="B5" s="26" t="n">
        <v>1</v>
      </c>
      <c r="C5" s="26" t="n">
        <v>2</v>
      </c>
      <c r="D5" s="26" t="n">
        <v>3</v>
      </c>
      <c r="E5" s="26" t="n">
        <v>4</v>
      </c>
      <c r="F5" s="26" t="n">
        <v>5</v>
      </c>
      <c r="G5" s="26" t="n">
        <v>6</v>
      </c>
      <c r="H5" s="26" t="n">
        <v>7</v>
      </c>
      <c r="I5" s="26" t="n">
        <v>8</v>
      </c>
      <c r="J5" s="26" t="n">
        <v>9</v>
      </c>
      <c r="K5" s="26" t="n">
        <v>10</v>
      </c>
      <c r="L5" s="26" t="n">
        <v>11</v>
      </c>
      <c r="M5" s="26" t="n">
        <v>12</v>
      </c>
    </row>
    <row r="6" ht="48" customHeight="1">
      <c r="A6" s="17" t="inlineStr">
        <is>
          <t>Rep</t>
        </is>
      </c>
      <c r="B6" s="17">
        <f>Setup!$B$11</f>
        <v/>
      </c>
      <c r="C6" s="17">
        <f>Setup!$B$12</f>
        <v/>
      </c>
      <c r="D6" s="17">
        <f>Setup!$B$13</f>
        <v/>
      </c>
      <c r="E6" s="17">
        <f>Setup!$B$14</f>
        <v/>
      </c>
      <c r="F6" s="17">
        <f>Setup!$B$15</f>
        <v/>
      </c>
      <c r="G6" s="17">
        <f>Setup!$B$16</f>
        <v/>
      </c>
      <c r="H6" s="17">
        <f>Setup!$B$17</f>
        <v/>
      </c>
      <c r="I6" s="17">
        <f>Setup!$B$18</f>
        <v/>
      </c>
      <c r="J6" s="17">
        <f>Setup!$B$19</f>
        <v/>
      </c>
      <c r="K6" s="17">
        <f>Setup!$B$20</f>
        <v/>
      </c>
      <c r="L6" s="17">
        <f>Setup!$B$21</f>
        <v/>
      </c>
      <c r="M6" s="17">
        <f>Setup!$B$22</f>
        <v/>
      </c>
      <c r="N6" s="17" t="inlineStr">
        <is>
          <t>Year</t>
        </is>
      </c>
    </row>
    <row r="7" ht="21" customHeight="1">
      <c r="A7" s="15">
        <f>IF(Reps!$A7="","",Reps!$A7)</f>
        <v/>
      </c>
      <c r="B7" s="27">
        <f>IF(Reps!$A7="","",IF(ISNUMBER(B42),B42,IF(1&lt;MAX(1,N(Reps!$D7)),0,N(Reps!$C7)*Setup!$C$11/SUMPRODUCT((Setup!$A$11:$A$22&gt;=MAX(1,N(Reps!$D7)))*Setup!$C$11:$C$22))))</f>
        <v/>
      </c>
      <c r="C7" s="27">
        <f>IF(Reps!$A7="","",IF(ISNUMBER(C42),C42,IF(2&lt;MAX(1,N(Reps!$D7)),0,N(Reps!$C7)*Setup!$C$12/SUMPRODUCT((Setup!$A$11:$A$22&gt;=MAX(1,N(Reps!$D7)))*Setup!$C$11:$C$22))))</f>
        <v/>
      </c>
      <c r="D7" s="27">
        <f>IF(Reps!$A7="","",IF(ISNUMBER(D42),D42,IF(3&lt;MAX(1,N(Reps!$D7)),0,N(Reps!$C7)*Setup!$C$13/SUMPRODUCT((Setup!$A$11:$A$22&gt;=MAX(1,N(Reps!$D7)))*Setup!$C$11:$C$22))))</f>
        <v/>
      </c>
      <c r="E7" s="27">
        <f>IF(Reps!$A7="","",IF(ISNUMBER(E42),E42,IF(4&lt;MAX(1,N(Reps!$D7)),0,N(Reps!$C7)*Setup!$C$14/SUMPRODUCT((Setup!$A$11:$A$22&gt;=MAX(1,N(Reps!$D7)))*Setup!$C$11:$C$22))))</f>
        <v/>
      </c>
      <c r="F7" s="27">
        <f>IF(Reps!$A7="","",IF(ISNUMBER(F42),F42,IF(5&lt;MAX(1,N(Reps!$D7)),0,N(Reps!$C7)*Setup!$C$15/SUMPRODUCT((Setup!$A$11:$A$22&gt;=MAX(1,N(Reps!$D7)))*Setup!$C$11:$C$22))))</f>
        <v/>
      </c>
      <c r="G7" s="27">
        <f>IF(Reps!$A7="","",IF(ISNUMBER(G42),G42,IF(6&lt;MAX(1,N(Reps!$D7)),0,N(Reps!$C7)*Setup!$C$16/SUMPRODUCT((Setup!$A$11:$A$22&gt;=MAX(1,N(Reps!$D7)))*Setup!$C$11:$C$22))))</f>
        <v/>
      </c>
      <c r="H7" s="27">
        <f>IF(Reps!$A7="","",IF(ISNUMBER(H42),H42,IF(7&lt;MAX(1,N(Reps!$D7)),0,N(Reps!$C7)*Setup!$C$17/SUMPRODUCT((Setup!$A$11:$A$22&gt;=MAX(1,N(Reps!$D7)))*Setup!$C$11:$C$22))))</f>
        <v/>
      </c>
      <c r="I7" s="27">
        <f>IF(Reps!$A7="","",IF(ISNUMBER(I42),I42,IF(8&lt;MAX(1,N(Reps!$D7)),0,N(Reps!$C7)*Setup!$C$18/SUMPRODUCT((Setup!$A$11:$A$22&gt;=MAX(1,N(Reps!$D7)))*Setup!$C$11:$C$22))))</f>
        <v/>
      </c>
      <c r="J7" s="27">
        <f>IF(Reps!$A7="","",IF(ISNUMBER(J42),J42,IF(9&lt;MAX(1,N(Reps!$D7)),0,N(Reps!$C7)*Setup!$C$19/SUMPRODUCT((Setup!$A$11:$A$22&gt;=MAX(1,N(Reps!$D7)))*Setup!$C$11:$C$22))))</f>
        <v/>
      </c>
      <c r="K7" s="27">
        <f>IF(Reps!$A7="","",IF(ISNUMBER(K42),K42,IF(10&lt;MAX(1,N(Reps!$D7)),0,N(Reps!$C7)*Setup!$C$20/SUMPRODUCT((Setup!$A$11:$A$22&gt;=MAX(1,N(Reps!$D7)))*Setup!$C$11:$C$22))))</f>
        <v/>
      </c>
      <c r="L7" s="27">
        <f>IF(Reps!$A7="","",IF(ISNUMBER(L42),L42,IF(11&lt;MAX(1,N(Reps!$D7)),0,N(Reps!$C7)*Setup!$C$21/SUMPRODUCT((Setup!$A$11:$A$22&gt;=MAX(1,N(Reps!$D7)))*Setup!$C$11:$C$22))))</f>
        <v/>
      </c>
      <c r="M7" s="27">
        <f>IF(Reps!$A7="","",IF(ISNUMBER(M42),M42,IF(12&lt;MAX(1,N(Reps!$D7)),0,N(Reps!$C7)*Setup!$C$22/SUMPRODUCT((Setup!$A$11:$A$22&gt;=MAX(1,N(Reps!$D7)))*Setup!$C$11:$C$22))))</f>
        <v/>
      </c>
      <c r="N7" s="25">
        <f>IF($A7="","",SUM(B7:M7))</f>
        <v/>
      </c>
    </row>
    <row r="8" ht="21" customHeight="1">
      <c r="A8" s="15">
        <f>IF(Reps!$A8="","",Reps!$A8)</f>
        <v/>
      </c>
      <c r="B8" s="27">
        <f>IF(Reps!$A8="","",IF(ISNUMBER(B43),B43,IF(1&lt;MAX(1,N(Reps!$D8)),0,N(Reps!$C8)*Setup!$C$11/SUMPRODUCT((Setup!$A$11:$A$22&gt;=MAX(1,N(Reps!$D8)))*Setup!$C$11:$C$22))))</f>
        <v/>
      </c>
      <c r="C8" s="27">
        <f>IF(Reps!$A8="","",IF(ISNUMBER(C43),C43,IF(2&lt;MAX(1,N(Reps!$D8)),0,N(Reps!$C8)*Setup!$C$12/SUMPRODUCT((Setup!$A$11:$A$22&gt;=MAX(1,N(Reps!$D8)))*Setup!$C$11:$C$22))))</f>
        <v/>
      </c>
      <c r="D8" s="27">
        <f>IF(Reps!$A8="","",IF(ISNUMBER(D43),D43,IF(3&lt;MAX(1,N(Reps!$D8)),0,N(Reps!$C8)*Setup!$C$13/SUMPRODUCT((Setup!$A$11:$A$22&gt;=MAX(1,N(Reps!$D8)))*Setup!$C$11:$C$22))))</f>
        <v/>
      </c>
      <c r="E8" s="27">
        <f>IF(Reps!$A8="","",IF(ISNUMBER(E43),E43,IF(4&lt;MAX(1,N(Reps!$D8)),0,N(Reps!$C8)*Setup!$C$14/SUMPRODUCT((Setup!$A$11:$A$22&gt;=MAX(1,N(Reps!$D8)))*Setup!$C$11:$C$22))))</f>
        <v/>
      </c>
      <c r="F8" s="27">
        <f>IF(Reps!$A8="","",IF(ISNUMBER(F43),F43,IF(5&lt;MAX(1,N(Reps!$D8)),0,N(Reps!$C8)*Setup!$C$15/SUMPRODUCT((Setup!$A$11:$A$22&gt;=MAX(1,N(Reps!$D8)))*Setup!$C$11:$C$22))))</f>
        <v/>
      </c>
      <c r="G8" s="27">
        <f>IF(Reps!$A8="","",IF(ISNUMBER(G43),G43,IF(6&lt;MAX(1,N(Reps!$D8)),0,N(Reps!$C8)*Setup!$C$16/SUMPRODUCT((Setup!$A$11:$A$22&gt;=MAX(1,N(Reps!$D8)))*Setup!$C$11:$C$22))))</f>
        <v/>
      </c>
      <c r="H8" s="27">
        <f>IF(Reps!$A8="","",IF(ISNUMBER(H43),H43,IF(7&lt;MAX(1,N(Reps!$D8)),0,N(Reps!$C8)*Setup!$C$17/SUMPRODUCT((Setup!$A$11:$A$22&gt;=MAX(1,N(Reps!$D8)))*Setup!$C$11:$C$22))))</f>
        <v/>
      </c>
      <c r="I8" s="27">
        <f>IF(Reps!$A8="","",IF(ISNUMBER(I43),I43,IF(8&lt;MAX(1,N(Reps!$D8)),0,N(Reps!$C8)*Setup!$C$18/SUMPRODUCT((Setup!$A$11:$A$22&gt;=MAX(1,N(Reps!$D8)))*Setup!$C$11:$C$22))))</f>
        <v/>
      </c>
      <c r="J8" s="27">
        <f>IF(Reps!$A8="","",IF(ISNUMBER(J43),J43,IF(9&lt;MAX(1,N(Reps!$D8)),0,N(Reps!$C8)*Setup!$C$19/SUMPRODUCT((Setup!$A$11:$A$22&gt;=MAX(1,N(Reps!$D8)))*Setup!$C$11:$C$22))))</f>
        <v/>
      </c>
      <c r="K8" s="27">
        <f>IF(Reps!$A8="","",IF(ISNUMBER(K43),K43,IF(10&lt;MAX(1,N(Reps!$D8)),0,N(Reps!$C8)*Setup!$C$20/SUMPRODUCT((Setup!$A$11:$A$22&gt;=MAX(1,N(Reps!$D8)))*Setup!$C$11:$C$22))))</f>
        <v/>
      </c>
      <c r="L8" s="27">
        <f>IF(Reps!$A8="","",IF(ISNUMBER(L43),L43,IF(11&lt;MAX(1,N(Reps!$D8)),0,N(Reps!$C8)*Setup!$C$21/SUMPRODUCT((Setup!$A$11:$A$22&gt;=MAX(1,N(Reps!$D8)))*Setup!$C$11:$C$22))))</f>
        <v/>
      </c>
      <c r="M8" s="27">
        <f>IF(Reps!$A8="","",IF(ISNUMBER(M43),M43,IF(12&lt;MAX(1,N(Reps!$D8)),0,N(Reps!$C8)*Setup!$C$22/SUMPRODUCT((Setup!$A$11:$A$22&gt;=MAX(1,N(Reps!$D8)))*Setup!$C$11:$C$22))))</f>
        <v/>
      </c>
      <c r="N8" s="25">
        <f>IF($A8="","",SUM(B8:M8))</f>
        <v/>
      </c>
    </row>
    <row r="9" ht="21" customHeight="1">
      <c r="A9" s="15">
        <f>IF(Reps!$A9="","",Reps!$A9)</f>
        <v/>
      </c>
      <c r="B9" s="27">
        <f>IF(Reps!$A9="","",IF(ISNUMBER(B44),B44,IF(1&lt;MAX(1,N(Reps!$D9)),0,N(Reps!$C9)*Setup!$C$11/SUMPRODUCT((Setup!$A$11:$A$22&gt;=MAX(1,N(Reps!$D9)))*Setup!$C$11:$C$22))))</f>
        <v/>
      </c>
      <c r="C9" s="27">
        <f>IF(Reps!$A9="","",IF(ISNUMBER(C44),C44,IF(2&lt;MAX(1,N(Reps!$D9)),0,N(Reps!$C9)*Setup!$C$12/SUMPRODUCT((Setup!$A$11:$A$22&gt;=MAX(1,N(Reps!$D9)))*Setup!$C$11:$C$22))))</f>
        <v/>
      </c>
      <c r="D9" s="27">
        <f>IF(Reps!$A9="","",IF(ISNUMBER(D44),D44,IF(3&lt;MAX(1,N(Reps!$D9)),0,N(Reps!$C9)*Setup!$C$13/SUMPRODUCT((Setup!$A$11:$A$22&gt;=MAX(1,N(Reps!$D9)))*Setup!$C$11:$C$22))))</f>
        <v/>
      </c>
      <c r="E9" s="27">
        <f>IF(Reps!$A9="","",IF(ISNUMBER(E44),E44,IF(4&lt;MAX(1,N(Reps!$D9)),0,N(Reps!$C9)*Setup!$C$14/SUMPRODUCT((Setup!$A$11:$A$22&gt;=MAX(1,N(Reps!$D9)))*Setup!$C$11:$C$22))))</f>
        <v/>
      </c>
      <c r="F9" s="27">
        <f>IF(Reps!$A9="","",IF(ISNUMBER(F44),F44,IF(5&lt;MAX(1,N(Reps!$D9)),0,N(Reps!$C9)*Setup!$C$15/SUMPRODUCT((Setup!$A$11:$A$22&gt;=MAX(1,N(Reps!$D9)))*Setup!$C$11:$C$22))))</f>
        <v/>
      </c>
      <c r="G9" s="27">
        <f>IF(Reps!$A9="","",IF(ISNUMBER(G44),G44,IF(6&lt;MAX(1,N(Reps!$D9)),0,N(Reps!$C9)*Setup!$C$16/SUMPRODUCT((Setup!$A$11:$A$22&gt;=MAX(1,N(Reps!$D9)))*Setup!$C$11:$C$22))))</f>
        <v/>
      </c>
      <c r="H9" s="27">
        <f>IF(Reps!$A9="","",IF(ISNUMBER(H44),H44,IF(7&lt;MAX(1,N(Reps!$D9)),0,N(Reps!$C9)*Setup!$C$17/SUMPRODUCT((Setup!$A$11:$A$22&gt;=MAX(1,N(Reps!$D9)))*Setup!$C$11:$C$22))))</f>
        <v/>
      </c>
      <c r="I9" s="27">
        <f>IF(Reps!$A9="","",IF(ISNUMBER(I44),I44,IF(8&lt;MAX(1,N(Reps!$D9)),0,N(Reps!$C9)*Setup!$C$18/SUMPRODUCT((Setup!$A$11:$A$22&gt;=MAX(1,N(Reps!$D9)))*Setup!$C$11:$C$22))))</f>
        <v/>
      </c>
      <c r="J9" s="27">
        <f>IF(Reps!$A9="","",IF(ISNUMBER(J44),J44,IF(9&lt;MAX(1,N(Reps!$D9)),0,N(Reps!$C9)*Setup!$C$19/SUMPRODUCT((Setup!$A$11:$A$22&gt;=MAX(1,N(Reps!$D9)))*Setup!$C$11:$C$22))))</f>
        <v/>
      </c>
      <c r="K9" s="27">
        <f>IF(Reps!$A9="","",IF(ISNUMBER(K44),K44,IF(10&lt;MAX(1,N(Reps!$D9)),0,N(Reps!$C9)*Setup!$C$20/SUMPRODUCT((Setup!$A$11:$A$22&gt;=MAX(1,N(Reps!$D9)))*Setup!$C$11:$C$22))))</f>
        <v/>
      </c>
      <c r="L9" s="27">
        <f>IF(Reps!$A9="","",IF(ISNUMBER(L44),L44,IF(11&lt;MAX(1,N(Reps!$D9)),0,N(Reps!$C9)*Setup!$C$21/SUMPRODUCT((Setup!$A$11:$A$22&gt;=MAX(1,N(Reps!$D9)))*Setup!$C$11:$C$22))))</f>
        <v/>
      </c>
      <c r="M9" s="27">
        <f>IF(Reps!$A9="","",IF(ISNUMBER(M44),M44,IF(12&lt;MAX(1,N(Reps!$D9)),0,N(Reps!$C9)*Setup!$C$22/SUMPRODUCT((Setup!$A$11:$A$22&gt;=MAX(1,N(Reps!$D9)))*Setup!$C$11:$C$22))))</f>
        <v/>
      </c>
      <c r="N9" s="25">
        <f>IF($A9="","",SUM(B9:M9))</f>
        <v/>
      </c>
    </row>
    <row r="10" ht="21" customHeight="1">
      <c r="A10" s="15">
        <f>IF(Reps!$A10="","",Reps!$A10)</f>
        <v/>
      </c>
      <c r="B10" s="27">
        <f>IF(Reps!$A10="","",IF(ISNUMBER(B45),B45,IF(1&lt;MAX(1,N(Reps!$D10)),0,N(Reps!$C10)*Setup!$C$11/SUMPRODUCT((Setup!$A$11:$A$22&gt;=MAX(1,N(Reps!$D10)))*Setup!$C$11:$C$22))))</f>
        <v/>
      </c>
      <c r="C10" s="27">
        <f>IF(Reps!$A10="","",IF(ISNUMBER(C45),C45,IF(2&lt;MAX(1,N(Reps!$D10)),0,N(Reps!$C10)*Setup!$C$12/SUMPRODUCT((Setup!$A$11:$A$22&gt;=MAX(1,N(Reps!$D10)))*Setup!$C$11:$C$22))))</f>
        <v/>
      </c>
      <c r="D10" s="27">
        <f>IF(Reps!$A10="","",IF(ISNUMBER(D45),D45,IF(3&lt;MAX(1,N(Reps!$D10)),0,N(Reps!$C10)*Setup!$C$13/SUMPRODUCT((Setup!$A$11:$A$22&gt;=MAX(1,N(Reps!$D10)))*Setup!$C$11:$C$22))))</f>
        <v/>
      </c>
      <c r="E10" s="27">
        <f>IF(Reps!$A10="","",IF(ISNUMBER(E45),E45,IF(4&lt;MAX(1,N(Reps!$D10)),0,N(Reps!$C10)*Setup!$C$14/SUMPRODUCT((Setup!$A$11:$A$22&gt;=MAX(1,N(Reps!$D10)))*Setup!$C$11:$C$22))))</f>
        <v/>
      </c>
      <c r="F10" s="27">
        <f>IF(Reps!$A10="","",IF(ISNUMBER(F45),F45,IF(5&lt;MAX(1,N(Reps!$D10)),0,N(Reps!$C10)*Setup!$C$15/SUMPRODUCT((Setup!$A$11:$A$22&gt;=MAX(1,N(Reps!$D10)))*Setup!$C$11:$C$22))))</f>
        <v/>
      </c>
      <c r="G10" s="27">
        <f>IF(Reps!$A10="","",IF(ISNUMBER(G45),G45,IF(6&lt;MAX(1,N(Reps!$D10)),0,N(Reps!$C10)*Setup!$C$16/SUMPRODUCT((Setup!$A$11:$A$22&gt;=MAX(1,N(Reps!$D10)))*Setup!$C$11:$C$22))))</f>
        <v/>
      </c>
      <c r="H10" s="27">
        <f>IF(Reps!$A10="","",IF(ISNUMBER(H45),H45,IF(7&lt;MAX(1,N(Reps!$D10)),0,N(Reps!$C10)*Setup!$C$17/SUMPRODUCT((Setup!$A$11:$A$22&gt;=MAX(1,N(Reps!$D10)))*Setup!$C$11:$C$22))))</f>
        <v/>
      </c>
      <c r="I10" s="27">
        <f>IF(Reps!$A10="","",IF(ISNUMBER(I45),I45,IF(8&lt;MAX(1,N(Reps!$D10)),0,N(Reps!$C10)*Setup!$C$18/SUMPRODUCT((Setup!$A$11:$A$22&gt;=MAX(1,N(Reps!$D10)))*Setup!$C$11:$C$22))))</f>
        <v/>
      </c>
      <c r="J10" s="27">
        <f>IF(Reps!$A10="","",IF(ISNUMBER(J45),J45,IF(9&lt;MAX(1,N(Reps!$D10)),0,N(Reps!$C10)*Setup!$C$19/SUMPRODUCT((Setup!$A$11:$A$22&gt;=MAX(1,N(Reps!$D10)))*Setup!$C$11:$C$22))))</f>
        <v/>
      </c>
      <c r="K10" s="27">
        <f>IF(Reps!$A10="","",IF(ISNUMBER(K45),K45,IF(10&lt;MAX(1,N(Reps!$D10)),0,N(Reps!$C10)*Setup!$C$20/SUMPRODUCT((Setup!$A$11:$A$22&gt;=MAX(1,N(Reps!$D10)))*Setup!$C$11:$C$22))))</f>
        <v/>
      </c>
      <c r="L10" s="27">
        <f>IF(Reps!$A10="","",IF(ISNUMBER(L45),L45,IF(11&lt;MAX(1,N(Reps!$D10)),0,N(Reps!$C10)*Setup!$C$21/SUMPRODUCT((Setup!$A$11:$A$22&gt;=MAX(1,N(Reps!$D10)))*Setup!$C$11:$C$22))))</f>
        <v/>
      </c>
      <c r="M10" s="27">
        <f>IF(Reps!$A10="","",IF(ISNUMBER(M45),M45,IF(12&lt;MAX(1,N(Reps!$D10)),0,N(Reps!$C10)*Setup!$C$22/SUMPRODUCT((Setup!$A$11:$A$22&gt;=MAX(1,N(Reps!$D10)))*Setup!$C$11:$C$22))))</f>
        <v/>
      </c>
      <c r="N10" s="25">
        <f>IF($A10="","",SUM(B10:M10))</f>
        <v/>
      </c>
    </row>
    <row r="11" ht="21" customHeight="1">
      <c r="A11" s="15">
        <f>IF(Reps!$A11="","",Reps!$A11)</f>
        <v/>
      </c>
      <c r="B11" s="27">
        <f>IF(Reps!$A11="","",IF(ISNUMBER(B46),B46,IF(1&lt;MAX(1,N(Reps!$D11)),0,N(Reps!$C11)*Setup!$C$11/SUMPRODUCT((Setup!$A$11:$A$22&gt;=MAX(1,N(Reps!$D11)))*Setup!$C$11:$C$22))))</f>
        <v/>
      </c>
      <c r="C11" s="27">
        <f>IF(Reps!$A11="","",IF(ISNUMBER(C46),C46,IF(2&lt;MAX(1,N(Reps!$D11)),0,N(Reps!$C11)*Setup!$C$12/SUMPRODUCT((Setup!$A$11:$A$22&gt;=MAX(1,N(Reps!$D11)))*Setup!$C$11:$C$22))))</f>
        <v/>
      </c>
      <c r="D11" s="27">
        <f>IF(Reps!$A11="","",IF(ISNUMBER(D46),D46,IF(3&lt;MAX(1,N(Reps!$D11)),0,N(Reps!$C11)*Setup!$C$13/SUMPRODUCT((Setup!$A$11:$A$22&gt;=MAX(1,N(Reps!$D11)))*Setup!$C$11:$C$22))))</f>
        <v/>
      </c>
      <c r="E11" s="27">
        <f>IF(Reps!$A11="","",IF(ISNUMBER(E46),E46,IF(4&lt;MAX(1,N(Reps!$D11)),0,N(Reps!$C11)*Setup!$C$14/SUMPRODUCT((Setup!$A$11:$A$22&gt;=MAX(1,N(Reps!$D11)))*Setup!$C$11:$C$22))))</f>
        <v/>
      </c>
      <c r="F11" s="27">
        <f>IF(Reps!$A11="","",IF(ISNUMBER(F46),F46,IF(5&lt;MAX(1,N(Reps!$D11)),0,N(Reps!$C11)*Setup!$C$15/SUMPRODUCT((Setup!$A$11:$A$22&gt;=MAX(1,N(Reps!$D11)))*Setup!$C$11:$C$22))))</f>
        <v/>
      </c>
      <c r="G11" s="27">
        <f>IF(Reps!$A11="","",IF(ISNUMBER(G46),G46,IF(6&lt;MAX(1,N(Reps!$D11)),0,N(Reps!$C11)*Setup!$C$16/SUMPRODUCT((Setup!$A$11:$A$22&gt;=MAX(1,N(Reps!$D11)))*Setup!$C$11:$C$22))))</f>
        <v/>
      </c>
      <c r="H11" s="27">
        <f>IF(Reps!$A11="","",IF(ISNUMBER(H46),H46,IF(7&lt;MAX(1,N(Reps!$D11)),0,N(Reps!$C11)*Setup!$C$17/SUMPRODUCT((Setup!$A$11:$A$22&gt;=MAX(1,N(Reps!$D11)))*Setup!$C$11:$C$22))))</f>
        <v/>
      </c>
      <c r="I11" s="27">
        <f>IF(Reps!$A11="","",IF(ISNUMBER(I46),I46,IF(8&lt;MAX(1,N(Reps!$D11)),0,N(Reps!$C11)*Setup!$C$18/SUMPRODUCT((Setup!$A$11:$A$22&gt;=MAX(1,N(Reps!$D11)))*Setup!$C$11:$C$22))))</f>
        <v/>
      </c>
      <c r="J11" s="27">
        <f>IF(Reps!$A11="","",IF(ISNUMBER(J46),J46,IF(9&lt;MAX(1,N(Reps!$D11)),0,N(Reps!$C11)*Setup!$C$19/SUMPRODUCT((Setup!$A$11:$A$22&gt;=MAX(1,N(Reps!$D11)))*Setup!$C$11:$C$22))))</f>
        <v/>
      </c>
      <c r="K11" s="27">
        <f>IF(Reps!$A11="","",IF(ISNUMBER(K46),K46,IF(10&lt;MAX(1,N(Reps!$D11)),0,N(Reps!$C11)*Setup!$C$20/SUMPRODUCT((Setup!$A$11:$A$22&gt;=MAX(1,N(Reps!$D11)))*Setup!$C$11:$C$22))))</f>
        <v/>
      </c>
      <c r="L11" s="27">
        <f>IF(Reps!$A11="","",IF(ISNUMBER(L46),L46,IF(11&lt;MAX(1,N(Reps!$D11)),0,N(Reps!$C11)*Setup!$C$21/SUMPRODUCT((Setup!$A$11:$A$22&gt;=MAX(1,N(Reps!$D11)))*Setup!$C$11:$C$22))))</f>
        <v/>
      </c>
      <c r="M11" s="27">
        <f>IF(Reps!$A11="","",IF(ISNUMBER(M46),M46,IF(12&lt;MAX(1,N(Reps!$D11)),0,N(Reps!$C11)*Setup!$C$22/SUMPRODUCT((Setup!$A$11:$A$22&gt;=MAX(1,N(Reps!$D11)))*Setup!$C$11:$C$22))))</f>
        <v/>
      </c>
      <c r="N11" s="25">
        <f>IF($A11="","",SUM(B11:M11))</f>
        <v/>
      </c>
    </row>
    <row r="12" ht="21" customHeight="1">
      <c r="A12" s="15">
        <f>IF(Reps!$A12="","",Reps!$A12)</f>
        <v/>
      </c>
      <c r="B12" s="27">
        <f>IF(Reps!$A12="","",IF(ISNUMBER(B47),B47,IF(1&lt;MAX(1,N(Reps!$D12)),0,N(Reps!$C12)*Setup!$C$11/SUMPRODUCT((Setup!$A$11:$A$22&gt;=MAX(1,N(Reps!$D12)))*Setup!$C$11:$C$22))))</f>
        <v/>
      </c>
      <c r="C12" s="27">
        <f>IF(Reps!$A12="","",IF(ISNUMBER(C47),C47,IF(2&lt;MAX(1,N(Reps!$D12)),0,N(Reps!$C12)*Setup!$C$12/SUMPRODUCT((Setup!$A$11:$A$22&gt;=MAX(1,N(Reps!$D12)))*Setup!$C$11:$C$22))))</f>
        <v/>
      </c>
      <c r="D12" s="27">
        <f>IF(Reps!$A12="","",IF(ISNUMBER(D47),D47,IF(3&lt;MAX(1,N(Reps!$D12)),0,N(Reps!$C12)*Setup!$C$13/SUMPRODUCT((Setup!$A$11:$A$22&gt;=MAX(1,N(Reps!$D12)))*Setup!$C$11:$C$22))))</f>
        <v/>
      </c>
      <c r="E12" s="27">
        <f>IF(Reps!$A12="","",IF(ISNUMBER(E47),E47,IF(4&lt;MAX(1,N(Reps!$D12)),0,N(Reps!$C12)*Setup!$C$14/SUMPRODUCT((Setup!$A$11:$A$22&gt;=MAX(1,N(Reps!$D12)))*Setup!$C$11:$C$22))))</f>
        <v/>
      </c>
      <c r="F12" s="27">
        <f>IF(Reps!$A12="","",IF(ISNUMBER(F47),F47,IF(5&lt;MAX(1,N(Reps!$D12)),0,N(Reps!$C12)*Setup!$C$15/SUMPRODUCT((Setup!$A$11:$A$22&gt;=MAX(1,N(Reps!$D12)))*Setup!$C$11:$C$22))))</f>
        <v/>
      </c>
      <c r="G12" s="27">
        <f>IF(Reps!$A12="","",IF(ISNUMBER(G47),G47,IF(6&lt;MAX(1,N(Reps!$D12)),0,N(Reps!$C12)*Setup!$C$16/SUMPRODUCT((Setup!$A$11:$A$22&gt;=MAX(1,N(Reps!$D12)))*Setup!$C$11:$C$22))))</f>
        <v/>
      </c>
      <c r="H12" s="27">
        <f>IF(Reps!$A12="","",IF(ISNUMBER(H47),H47,IF(7&lt;MAX(1,N(Reps!$D12)),0,N(Reps!$C12)*Setup!$C$17/SUMPRODUCT((Setup!$A$11:$A$22&gt;=MAX(1,N(Reps!$D12)))*Setup!$C$11:$C$22))))</f>
        <v/>
      </c>
      <c r="I12" s="27">
        <f>IF(Reps!$A12="","",IF(ISNUMBER(I47),I47,IF(8&lt;MAX(1,N(Reps!$D12)),0,N(Reps!$C12)*Setup!$C$18/SUMPRODUCT((Setup!$A$11:$A$22&gt;=MAX(1,N(Reps!$D12)))*Setup!$C$11:$C$22))))</f>
        <v/>
      </c>
      <c r="J12" s="27">
        <f>IF(Reps!$A12="","",IF(ISNUMBER(J47),J47,IF(9&lt;MAX(1,N(Reps!$D12)),0,N(Reps!$C12)*Setup!$C$19/SUMPRODUCT((Setup!$A$11:$A$22&gt;=MAX(1,N(Reps!$D12)))*Setup!$C$11:$C$22))))</f>
        <v/>
      </c>
      <c r="K12" s="27">
        <f>IF(Reps!$A12="","",IF(ISNUMBER(K47),K47,IF(10&lt;MAX(1,N(Reps!$D12)),0,N(Reps!$C12)*Setup!$C$20/SUMPRODUCT((Setup!$A$11:$A$22&gt;=MAX(1,N(Reps!$D12)))*Setup!$C$11:$C$22))))</f>
        <v/>
      </c>
      <c r="L12" s="27">
        <f>IF(Reps!$A12="","",IF(ISNUMBER(L47),L47,IF(11&lt;MAX(1,N(Reps!$D12)),0,N(Reps!$C12)*Setup!$C$21/SUMPRODUCT((Setup!$A$11:$A$22&gt;=MAX(1,N(Reps!$D12)))*Setup!$C$11:$C$22))))</f>
        <v/>
      </c>
      <c r="M12" s="27">
        <f>IF(Reps!$A12="","",IF(ISNUMBER(M47),M47,IF(12&lt;MAX(1,N(Reps!$D12)),0,N(Reps!$C12)*Setup!$C$22/SUMPRODUCT((Setup!$A$11:$A$22&gt;=MAX(1,N(Reps!$D12)))*Setup!$C$11:$C$22))))</f>
        <v/>
      </c>
      <c r="N12" s="25">
        <f>IF($A12="","",SUM(B12:M12))</f>
        <v/>
      </c>
    </row>
    <row r="13" ht="21" customHeight="1">
      <c r="A13" s="15">
        <f>IF(Reps!$A13="","",Reps!$A13)</f>
        <v/>
      </c>
      <c r="B13" s="27">
        <f>IF(Reps!$A13="","",IF(ISNUMBER(B48),B48,IF(1&lt;MAX(1,N(Reps!$D13)),0,N(Reps!$C13)*Setup!$C$11/SUMPRODUCT((Setup!$A$11:$A$22&gt;=MAX(1,N(Reps!$D13)))*Setup!$C$11:$C$22))))</f>
        <v/>
      </c>
      <c r="C13" s="27">
        <f>IF(Reps!$A13="","",IF(ISNUMBER(C48),C48,IF(2&lt;MAX(1,N(Reps!$D13)),0,N(Reps!$C13)*Setup!$C$12/SUMPRODUCT((Setup!$A$11:$A$22&gt;=MAX(1,N(Reps!$D13)))*Setup!$C$11:$C$22))))</f>
        <v/>
      </c>
      <c r="D13" s="27">
        <f>IF(Reps!$A13="","",IF(ISNUMBER(D48),D48,IF(3&lt;MAX(1,N(Reps!$D13)),0,N(Reps!$C13)*Setup!$C$13/SUMPRODUCT((Setup!$A$11:$A$22&gt;=MAX(1,N(Reps!$D13)))*Setup!$C$11:$C$22))))</f>
        <v/>
      </c>
      <c r="E13" s="27">
        <f>IF(Reps!$A13="","",IF(ISNUMBER(E48),E48,IF(4&lt;MAX(1,N(Reps!$D13)),0,N(Reps!$C13)*Setup!$C$14/SUMPRODUCT((Setup!$A$11:$A$22&gt;=MAX(1,N(Reps!$D13)))*Setup!$C$11:$C$22))))</f>
        <v/>
      </c>
      <c r="F13" s="27">
        <f>IF(Reps!$A13="","",IF(ISNUMBER(F48),F48,IF(5&lt;MAX(1,N(Reps!$D13)),0,N(Reps!$C13)*Setup!$C$15/SUMPRODUCT((Setup!$A$11:$A$22&gt;=MAX(1,N(Reps!$D13)))*Setup!$C$11:$C$22))))</f>
        <v/>
      </c>
      <c r="G13" s="27">
        <f>IF(Reps!$A13="","",IF(ISNUMBER(G48),G48,IF(6&lt;MAX(1,N(Reps!$D13)),0,N(Reps!$C13)*Setup!$C$16/SUMPRODUCT((Setup!$A$11:$A$22&gt;=MAX(1,N(Reps!$D13)))*Setup!$C$11:$C$22))))</f>
        <v/>
      </c>
      <c r="H13" s="27">
        <f>IF(Reps!$A13="","",IF(ISNUMBER(H48),H48,IF(7&lt;MAX(1,N(Reps!$D13)),0,N(Reps!$C13)*Setup!$C$17/SUMPRODUCT((Setup!$A$11:$A$22&gt;=MAX(1,N(Reps!$D13)))*Setup!$C$11:$C$22))))</f>
        <v/>
      </c>
      <c r="I13" s="27">
        <f>IF(Reps!$A13="","",IF(ISNUMBER(I48),I48,IF(8&lt;MAX(1,N(Reps!$D13)),0,N(Reps!$C13)*Setup!$C$18/SUMPRODUCT((Setup!$A$11:$A$22&gt;=MAX(1,N(Reps!$D13)))*Setup!$C$11:$C$22))))</f>
        <v/>
      </c>
      <c r="J13" s="27">
        <f>IF(Reps!$A13="","",IF(ISNUMBER(J48),J48,IF(9&lt;MAX(1,N(Reps!$D13)),0,N(Reps!$C13)*Setup!$C$19/SUMPRODUCT((Setup!$A$11:$A$22&gt;=MAX(1,N(Reps!$D13)))*Setup!$C$11:$C$22))))</f>
        <v/>
      </c>
      <c r="K13" s="27">
        <f>IF(Reps!$A13="","",IF(ISNUMBER(K48),K48,IF(10&lt;MAX(1,N(Reps!$D13)),0,N(Reps!$C13)*Setup!$C$20/SUMPRODUCT((Setup!$A$11:$A$22&gt;=MAX(1,N(Reps!$D13)))*Setup!$C$11:$C$22))))</f>
        <v/>
      </c>
      <c r="L13" s="27">
        <f>IF(Reps!$A13="","",IF(ISNUMBER(L48),L48,IF(11&lt;MAX(1,N(Reps!$D13)),0,N(Reps!$C13)*Setup!$C$21/SUMPRODUCT((Setup!$A$11:$A$22&gt;=MAX(1,N(Reps!$D13)))*Setup!$C$11:$C$22))))</f>
        <v/>
      </c>
      <c r="M13" s="27">
        <f>IF(Reps!$A13="","",IF(ISNUMBER(M48),M48,IF(12&lt;MAX(1,N(Reps!$D13)),0,N(Reps!$C13)*Setup!$C$22/SUMPRODUCT((Setup!$A$11:$A$22&gt;=MAX(1,N(Reps!$D13)))*Setup!$C$11:$C$22))))</f>
        <v/>
      </c>
      <c r="N13" s="25">
        <f>IF($A13="","",SUM(B13:M13))</f>
        <v/>
      </c>
    </row>
    <row r="14" ht="21" customHeight="1">
      <c r="A14" s="15">
        <f>IF(Reps!$A14="","",Reps!$A14)</f>
        <v/>
      </c>
      <c r="B14" s="27">
        <f>IF(Reps!$A14="","",IF(ISNUMBER(B49),B49,IF(1&lt;MAX(1,N(Reps!$D14)),0,N(Reps!$C14)*Setup!$C$11/SUMPRODUCT((Setup!$A$11:$A$22&gt;=MAX(1,N(Reps!$D14)))*Setup!$C$11:$C$22))))</f>
        <v/>
      </c>
      <c r="C14" s="27">
        <f>IF(Reps!$A14="","",IF(ISNUMBER(C49),C49,IF(2&lt;MAX(1,N(Reps!$D14)),0,N(Reps!$C14)*Setup!$C$12/SUMPRODUCT((Setup!$A$11:$A$22&gt;=MAX(1,N(Reps!$D14)))*Setup!$C$11:$C$22))))</f>
        <v/>
      </c>
      <c r="D14" s="27">
        <f>IF(Reps!$A14="","",IF(ISNUMBER(D49),D49,IF(3&lt;MAX(1,N(Reps!$D14)),0,N(Reps!$C14)*Setup!$C$13/SUMPRODUCT((Setup!$A$11:$A$22&gt;=MAX(1,N(Reps!$D14)))*Setup!$C$11:$C$22))))</f>
        <v/>
      </c>
      <c r="E14" s="27">
        <f>IF(Reps!$A14="","",IF(ISNUMBER(E49),E49,IF(4&lt;MAX(1,N(Reps!$D14)),0,N(Reps!$C14)*Setup!$C$14/SUMPRODUCT((Setup!$A$11:$A$22&gt;=MAX(1,N(Reps!$D14)))*Setup!$C$11:$C$22))))</f>
        <v/>
      </c>
      <c r="F14" s="27">
        <f>IF(Reps!$A14="","",IF(ISNUMBER(F49),F49,IF(5&lt;MAX(1,N(Reps!$D14)),0,N(Reps!$C14)*Setup!$C$15/SUMPRODUCT((Setup!$A$11:$A$22&gt;=MAX(1,N(Reps!$D14)))*Setup!$C$11:$C$22))))</f>
        <v/>
      </c>
      <c r="G14" s="27">
        <f>IF(Reps!$A14="","",IF(ISNUMBER(G49),G49,IF(6&lt;MAX(1,N(Reps!$D14)),0,N(Reps!$C14)*Setup!$C$16/SUMPRODUCT((Setup!$A$11:$A$22&gt;=MAX(1,N(Reps!$D14)))*Setup!$C$11:$C$22))))</f>
        <v/>
      </c>
      <c r="H14" s="27">
        <f>IF(Reps!$A14="","",IF(ISNUMBER(H49),H49,IF(7&lt;MAX(1,N(Reps!$D14)),0,N(Reps!$C14)*Setup!$C$17/SUMPRODUCT((Setup!$A$11:$A$22&gt;=MAX(1,N(Reps!$D14)))*Setup!$C$11:$C$22))))</f>
        <v/>
      </c>
      <c r="I14" s="27">
        <f>IF(Reps!$A14="","",IF(ISNUMBER(I49),I49,IF(8&lt;MAX(1,N(Reps!$D14)),0,N(Reps!$C14)*Setup!$C$18/SUMPRODUCT((Setup!$A$11:$A$22&gt;=MAX(1,N(Reps!$D14)))*Setup!$C$11:$C$22))))</f>
        <v/>
      </c>
      <c r="J14" s="27">
        <f>IF(Reps!$A14="","",IF(ISNUMBER(J49),J49,IF(9&lt;MAX(1,N(Reps!$D14)),0,N(Reps!$C14)*Setup!$C$19/SUMPRODUCT((Setup!$A$11:$A$22&gt;=MAX(1,N(Reps!$D14)))*Setup!$C$11:$C$22))))</f>
        <v/>
      </c>
      <c r="K14" s="27">
        <f>IF(Reps!$A14="","",IF(ISNUMBER(K49),K49,IF(10&lt;MAX(1,N(Reps!$D14)),0,N(Reps!$C14)*Setup!$C$20/SUMPRODUCT((Setup!$A$11:$A$22&gt;=MAX(1,N(Reps!$D14)))*Setup!$C$11:$C$22))))</f>
        <v/>
      </c>
      <c r="L14" s="27">
        <f>IF(Reps!$A14="","",IF(ISNUMBER(L49),L49,IF(11&lt;MAX(1,N(Reps!$D14)),0,N(Reps!$C14)*Setup!$C$21/SUMPRODUCT((Setup!$A$11:$A$22&gt;=MAX(1,N(Reps!$D14)))*Setup!$C$11:$C$22))))</f>
        <v/>
      </c>
      <c r="M14" s="27">
        <f>IF(Reps!$A14="","",IF(ISNUMBER(M49),M49,IF(12&lt;MAX(1,N(Reps!$D14)),0,N(Reps!$C14)*Setup!$C$22/SUMPRODUCT((Setup!$A$11:$A$22&gt;=MAX(1,N(Reps!$D14)))*Setup!$C$11:$C$22))))</f>
        <v/>
      </c>
      <c r="N14" s="25">
        <f>IF($A14="","",SUM(B14:M14))</f>
        <v/>
      </c>
    </row>
    <row r="15" ht="21" customHeight="1">
      <c r="A15" s="15">
        <f>IF(Reps!$A15="","",Reps!$A15)</f>
        <v/>
      </c>
      <c r="B15" s="27">
        <f>IF(Reps!$A15="","",IF(ISNUMBER(B50),B50,IF(1&lt;MAX(1,N(Reps!$D15)),0,N(Reps!$C15)*Setup!$C$11/SUMPRODUCT((Setup!$A$11:$A$22&gt;=MAX(1,N(Reps!$D15)))*Setup!$C$11:$C$22))))</f>
        <v/>
      </c>
      <c r="C15" s="27">
        <f>IF(Reps!$A15="","",IF(ISNUMBER(C50),C50,IF(2&lt;MAX(1,N(Reps!$D15)),0,N(Reps!$C15)*Setup!$C$12/SUMPRODUCT((Setup!$A$11:$A$22&gt;=MAX(1,N(Reps!$D15)))*Setup!$C$11:$C$22))))</f>
        <v/>
      </c>
      <c r="D15" s="27">
        <f>IF(Reps!$A15="","",IF(ISNUMBER(D50),D50,IF(3&lt;MAX(1,N(Reps!$D15)),0,N(Reps!$C15)*Setup!$C$13/SUMPRODUCT((Setup!$A$11:$A$22&gt;=MAX(1,N(Reps!$D15)))*Setup!$C$11:$C$22))))</f>
        <v/>
      </c>
      <c r="E15" s="27">
        <f>IF(Reps!$A15="","",IF(ISNUMBER(E50),E50,IF(4&lt;MAX(1,N(Reps!$D15)),0,N(Reps!$C15)*Setup!$C$14/SUMPRODUCT((Setup!$A$11:$A$22&gt;=MAX(1,N(Reps!$D15)))*Setup!$C$11:$C$22))))</f>
        <v/>
      </c>
      <c r="F15" s="27">
        <f>IF(Reps!$A15="","",IF(ISNUMBER(F50),F50,IF(5&lt;MAX(1,N(Reps!$D15)),0,N(Reps!$C15)*Setup!$C$15/SUMPRODUCT((Setup!$A$11:$A$22&gt;=MAX(1,N(Reps!$D15)))*Setup!$C$11:$C$22))))</f>
        <v/>
      </c>
      <c r="G15" s="27">
        <f>IF(Reps!$A15="","",IF(ISNUMBER(G50),G50,IF(6&lt;MAX(1,N(Reps!$D15)),0,N(Reps!$C15)*Setup!$C$16/SUMPRODUCT((Setup!$A$11:$A$22&gt;=MAX(1,N(Reps!$D15)))*Setup!$C$11:$C$22))))</f>
        <v/>
      </c>
      <c r="H15" s="27">
        <f>IF(Reps!$A15="","",IF(ISNUMBER(H50),H50,IF(7&lt;MAX(1,N(Reps!$D15)),0,N(Reps!$C15)*Setup!$C$17/SUMPRODUCT((Setup!$A$11:$A$22&gt;=MAX(1,N(Reps!$D15)))*Setup!$C$11:$C$22))))</f>
        <v/>
      </c>
      <c r="I15" s="27">
        <f>IF(Reps!$A15="","",IF(ISNUMBER(I50),I50,IF(8&lt;MAX(1,N(Reps!$D15)),0,N(Reps!$C15)*Setup!$C$18/SUMPRODUCT((Setup!$A$11:$A$22&gt;=MAX(1,N(Reps!$D15)))*Setup!$C$11:$C$22))))</f>
        <v/>
      </c>
      <c r="J15" s="27">
        <f>IF(Reps!$A15="","",IF(ISNUMBER(J50),J50,IF(9&lt;MAX(1,N(Reps!$D15)),0,N(Reps!$C15)*Setup!$C$19/SUMPRODUCT((Setup!$A$11:$A$22&gt;=MAX(1,N(Reps!$D15)))*Setup!$C$11:$C$22))))</f>
        <v/>
      </c>
      <c r="K15" s="27">
        <f>IF(Reps!$A15="","",IF(ISNUMBER(K50),K50,IF(10&lt;MAX(1,N(Reps!$D15)),0,N(Reps!$C15)*Setup!$C$20/SUMPRODUCT((Setup!$A$11:$A$22&gt;=MAX(1,N(Reps!$D15)))*Setup!$C$11:$C$22))))</f>
        <v/>
      </c>
      <c r="L15" s="27">
        <f>IF(Reps!$A15="","",IF(ISNUMBER(L50),L50,IF(11&lt;MAX(1,N(Reps!$D15)),0,N(Reps!$C15)*Setup!$C$21/SUMPRODUCT((Setup!$A$11:$A$22&gt;=MAX(1,N(Reps!$D15)))*Setup!$C$11:$C$22))))</f>
        <v/>
      </c>
      <c r="M15" s="27">
        <f>IF(Reps!$A15="","",IF(ISNUMBER(M50),M50,IF(12&lt;MAX(1,N(Reps!$D15)),0,N(Reps!$C15)*Setup!$C$22/SUMPRODUCT((Setup!$A$11:$A$22&gt;=MAX(1,N(Reps!$D15)))*Setup!$C$11:$C$22))))</f>
        <v/>
      </c>
      <c r="N15" s="25">
        <f>IF($A15="","",SUM(B15:M15))</f>
        <v/>
      </c>
    </row>
    <row r="16" ht="21" customHeight="1">
      <c r="A16" s="15">
        <f>IF(Reps!$A16="","",Reps!$A16)</f>
        <v/>
      </c>
      <c r="B16" s="27">
        <f>IF(Reps!$A16="","",IF(ISNUMBER(B51),B51,IF(1&lt;MAX(1,N(Reps!$D16)),0,N(Reps!$C16)*Setup!$C$11/SUMPRODUCT((Setup!$A$11:$A$22&gt;=MAX(1,N(Reps!$D16)))*Setup!$C$11:$C$22))))</f>
        <v/>
      </c>
      <c r="C16" s="27">
        <f>IF(Reps!$A16="","",IF(ISNUMBER(C51),C51,IF(2&lt;MAX(1,N(Reps!$D16)),0,N(Reps!$C16)*Setup!$C$12/SUMPRODUCT((Setup!$A$11:$A$22&gt;=MAX(1,N(Reps!$D16)))*Setup!$C$11:$C$22))))</f>
        <v/>
      </c>
      <c r="D16" s="27">
        <f>IF(Reps!$A16="","",IF(ISNUMBER(D51),D51,IF(3&lt;MAX(1,N(Reps!$D16)),0,N(Reps!$C16)*Setup!$C$13/SUMPRODUCT((Setup!$A$11:$A$22&gt;=MAX(1,N(Reps!$D16)))*Setup!$C$11:$C$22))))</f>
        <v/>
      </c>
      <c r="E16" s="27">
        <f>IF(Reps!$A16="","",IF(ISNUMBER(E51),E51,IF(4&lt;MAX(1,N(Reps!$D16)),0,N(Reps!$C16)*Setup!$C$14/SUMPRODUCT((Setup!$A$11:$A$22&gt;=MAX(1,N(Reps!$D16)))*Setup!$C$11:$C$22))))</f>
        <v/>
      </c>
      <c r="F16" s="27">
        <f>IF(Reps!$A16="","",IF(ISNUMBER(F51),F51,IF(5&lt;MAX(1,N(Reps!$D16)),0,N(Reps!$C16)*Setup!$C$15/SUMPRODUCT((Setup!$A$11:$A$22&gt;=MAX(1,N(Reps!$D16)))*Setup!$C$11:$C$22))))</f>
        <v/>
      </c>
      <c r="G16" s="27">
        <f>IF(Reps!$A16="","",IF(ISNUMBER(G51),G51,IF(6&lt;MAX(1,N(Reps!$D16)),0,N(Reps!$C16)*Setup!$C$16/SUMPRODUCT((Setup!$A$11:$A$22&gt;=MAX(1,N(Reps!$D16)))*Setup!$C$11:$C$22))))</f>
        <v/>
      </c>
      <c r="H16" s="27">
        <f>IF(Reps!$A16="","",IF(ISNUMBER(H51),H51,IF(7&lt;MAX(1,N(Reps!$D16)),0,N(Reps!$C16)*Setup!$C$17/SUMPRODUCT((Setup!$A$11:$A$22&gt;=MAX(1,N(Reps!$D16)))*Setup!$C$11:$C$22))))</f>
        <v/>
      </c>
      <c r="I16" s="27">
        <f>IF(Reps!$A16="","",IF(ISNUMBER(I51),I51,IF(8&lt;MAX(1,N(Reps!$D16)),0,N(Reps!$C16)*Setup!$C$18/SUMPRODUCT((Setup!$A$11:$A$22&gt;=MAX(1,N(Reps!$D16)))*Setup!$C$11:$C$22))))</f>
        <v/>
      </c>
      <c r="J16" s="27">
        <f>IF(Reps!$A16="","",IF(ISNUMBER(J51),J51,IF(9&lt;MAX(1,N(Reps!$D16)),0,N(Reps!$C16)*Setup!$C$19/SUMPRODUCT((Setup!$A$11:$A$22&gt;=MAX(1,N(Reps!$D16)))*Setup!$C$11:$C$22))))</f>
        <v/>
      </c>
      <c r="K16" s="27">
        <f>IF(Reps!$A16="","",IF(ISNUMBER(K51),K51,IF(10&lt;MAX(1,N(Reps!$D16)),0,N(Reps!$C16)*Setup!$C$20/SUMPRODUCT((Setup!$A$11:$A$22&gt;=MAX(1,N(Reps!$D16)))*Setup!$C$11:$C$22))))</f>
        <v/>
      </c>
      <c r="L16" s="27">
        <f>IF(Reps!$A16="","",IF(ISNUMBER(L51),L51,IF(11&lt;MAX(1,N(Reps!$D16)),0,N(Reps!$C16)*Setup!$C$21/SUMPRODUCT((Setup!$A$11:$A$22&gt;=MAX(1,N(Reps!$D16)))*Setup!$C$11:$C$22))))</f>
        <v/>
      </c>
      <c r="M16" s="27">
        <f>IF(Reps!$A16="","",IF(ISNUMBER(M51),M51,IF(12&lt;MAX(1,N(Reps!$D16)),0,N(Reps!$C16)*Setup!$C$22/SUMPRODUCT((Setup!$A$11:$A$22&gt;=MAX(1,N(Reps!$D16)))*Setup!$C$11:$C$22))))</f>
        <v/>
      </c>
      <c r="N16" s="25">
        <f>IF($A16="","",SUM(B16:M16))</f>
        <v/>
      </c>
    </row>
    <row r="17" ht="21" customHeight="1">
      <c r="A17" s="15">
        <f>IF(Reps!$A17="","",Reps!$A17)</f>
        <v/>
      </c>
      <c r="B17" s="27">
        <f>IF(Reps!$A17="","",IF(ISNUMBER(B52),B52,IF(1&lt;MAX(1,N(Reps!$D17)),0,N(Reps!$C17)*Setup!$C$11/SUMPRODUCT((Setup!$A$11:$A$22&gt;=MAX(1,N(Reps!$D17)))*Setup!$C$11:$C$22))))</f>
        <v/>
      </c>
      <c r="C17" s="27">
        <f>IF(Reps!$A17="","",IF(ISNUMBER(C52),C52,IF(2&lt;MAX(1,N(Reps!$D17)),0,N(Reps!$C17)*Setup!$C$12/SUMPRODUCT((Setup!$A$11:$A$22&gt;=MAX(1,N(Reps!$D17)))*Setup!$C$11:$C$22))))</f>
        <v/>
      </c>
      <c r="D17" s="27">
        <f>IF(Reps!$A17="","",IF(ISNUMBER(D52),D52,IF(3&lt;MAX(1,N(Reps!$D17)),0,N(Reps!$C17)*Setup!$C$13/SUMPRODUCT((Setup!$A$11:$A$22&gt;=MAX(1,N(Reps!$D17)))*Setup!$C$11:$C$22))))</f>
        <v/>
      </c>
      <c r="E17" s="27">
        <f>IF(Reps!$A17="","",IF(ISNUMBER(E52),E52,IF(4&lt;MAX(1,N(Reps!$D17)),0,N(Reps!$C17)*Setup!$C$14/SUMPRODUCT((Setup!$A$11:$A$22&gt;=MAX(1,N(Reps!$D17)))*Setup!$C$11:$C$22))))</f>
        <v/>
      </c>
      <c r="F17" s="27">
        <f>IF(Reps!$A17="","",IF(ISNUMBER(F52),F52,IF(5&lt;MAX(1,N(Reps!$D17)),0,N(Reps!$C17)*Setup!$C$15/SUMPRODUCT((Setup!$A$11:$A$22&gt;=MAX(1,N(Reps!$D17)))*Setup!$C$11:$C$22))))</f>
        <v/>
      </c>
      <c r="G17" s="27">
        <f>IF(Reps!$A17="","",IF(ISNUMBER(G52),G52,IF(6&lt;MAX(1,N(Reps!$D17)),0,N(Reps!$C17)*Setup!$C$16/SUMPRODUCT((Setup!$A$11:$A$22&gt;=MAX(1,N(Reps!$D17)))*Setup!$C$11:$C$22))))</f>
        <v/>
      </c>
      <c r="H17" s="27">
        <f>IF(Reps!$A17="","",IF(ISNUMBER(H52),H52,IF(7&lt;MAX(1,N(Reps!$D17)),0,N(Reps!$C17)*Setup!$C$17/SUMPRODUCT((Setup!$A$11:$A$22&gt;=MAX(1,N(Reps!$D17)))*Setup!$C$11:$C$22))))</f>
        <v/>
      </c>
      <c r="I17" s="27">
        <f>IF(Reps!$A17="","",IF(ISNUMBER(I52),I52,IF(8&lt;MAX(1,N(Reps!$D17)),0,N(Reps!$C17)*Setup!$C$18/SUMPRODUCT((Setup!$A$11:$A$22&gt;=MAX(1,N(Reps!$D17)))*Setup!$C$11:$C$22))))</f>
        <v/>
      </c>
      <c r="J17" s="27">
        <f>IF(Reps!$A17="","",IF(ISNUMBER(J52),J52,IF(9&lt;MAX(1,N(Reps!$D17)),0,N(Reps!$C17)*Setup!$C$19/SUMPRODUCT((Setup!$A$11:$A$22&gt;=MAX(1,N(Reps!$D17)))*Setup!$C$11:$C$22))))</f>
        <v/>
      </c>
      <c r="K17" s="27">
        <f>IF(Reps!$A17="","",IF(ISNUMBER(K52),K52,IF(10&lt;MAX(1,N(Reps!$D17)),0,N(Reps!$C17)*Setup!$C$20/SUMPRODUCT((Setup!$A$11:$A$22&gt;=MAX(1,N(Reps!$D17)))*Setup!$C$11:$C$22))))</f>
        <v/>
      </c>
      <c r="L17" s="27">
        <f>IF(Reps!$A17="","",IF(ISNUMBER(L52),L52,IF(11&lt;MAX(1,N(Reps!$D17)),0,N(Reps!$C17)*Setup!$C$21/SUMPRODUCT((Setup!$A$11:$A$22&gt;=MAX(1,N(Reps!$D17)))*Setup!$C$11:$C$22))))</f>
        <v/>
      </c>
      <c r="M17" s="27">
        <f>IF(Reps!$A17="","",IF(ISNUMBER(M52),M52,IF(12&lt;MAX(1,N(Reps!$D17)),0,N(Reps!$C17)*Setup!$C$22/SUMPRODUCT((Setup!$A$11:$A$22&gt;=MAX(1,N(Reps!$D17)))*Setup!$C$11:$C$22))))</f>
        <v/>
      </c>
      <c r="N17" s="25">
        <f>IF($A17="","",SUM(B17:M17))</f>
        <v/>
      </c>
    </row>
    <row r="18" ht="21" customHeight="1">
      <c r="A18" s="15">
        <f>IF(Reps!$A18="","",Reps!$A18)</f>
        <v/>
      </c>
      <c r="B18" s="27">
        <f>IF(Reps!$A18="","",IF(ISNUMBER(B53),B53,IF(1&lt;MAX(1,N(Reps!$D18)),0,N(Reps!$C18)*Setup!$C$11/SUMPRODUCT((Setup!$A$11:$A$22&gt;=MAX(1,N(Reps!$D18)))*Setup!$C$11:$C$22))))</f>
        <v/>
      </c>
      <c r="C18" s="27">
        <f>IF(Reps!$A18="","",IF(ISNUMBER(C53),C53,IF(2&lt;MAX(1,N(Reps!$D18)),0,N(Reps!$C18)*Setup!$C$12/SUMPRODUCT((Setup!$A$11:$A$22&gt;=MAX(1,N(Reps!$D18)))*Setup!$C$11:$C$22))))</f>
        <v/>
      </c>
      <c r="D18" s="27">
        <f>IF(Reps!$A18="","",IF(ISNUMBER(D53),D53,IF(3&lt;MAX(1,N(Reps!$D18)),0,N(Reps!$C18)*Setup!$C$13/SUMPRODUCT((Setup!$A$11:$A$22&gt;=MAX(1,N(Reps!$D18)))*Setup!$C$11:$C$22))))</f>
        <v/>
      </c>
      <c r="E18" s="27">
        <f>IF(Reps!$A18="","",IF(ISNUMBER(E53),E53,IF(4&lt;MAX(1,N(Reps!$D18)),0,N(Reps!$C18)*Setup!$C$14/SUMPRODUCT((Setup!$A$11:$A$22&gt;=MAX(1,N(Reps!$D18)))*Setup!$C$11:$C$22))))</f>
        <v/>
      </c>
      <c r="F18" s="27">
        <f>IF(Reps!$A18="","",IF(ISNUMBER(F53),F53,IF(5&lt;MAX(1,N(Reps!$D18)),0,N(Reps!$C18)*Setup!$C$15/SUMPRODUCT((Setup!$A$11:$A$22&gt;=MAX(1,N(Reps!$D18)))*Setup!$C$11:$C$22))))</f>
        <v/>
      </c>
      <c r="G18" s="27">
        <f>IF(Reps!$A18="","",IF(ISNUMBER(G53),G53,IF(6&lt;MAX(1,N(Reps!$D18)),0,N(Reps!$C18)*Setup!$C$16/SUMPRODUCT((Setup!$A$11:$A$22&gt;=MAX(1,N(Reps!$D18)))*Setup!$C$11:$C$22))))</f>
        <v/>
      </c>
      <c r="H18" s="27">
        <f>IF(Reps!$A18="","",IF(ISNUMBER(H53),H53,IF(7&lt;MAX(1,N(Reps!$D18)),0,N(Reps!$C18)*Setup!$C$17/SUMPRODUCT((Setup!$A$11:$A$22&gt;=MAX(1,N(Reps!$D18)))*Setup!$C$11:$C$22))))</f>
        <v/>
      </c>
      <c r="I18" s="27">
        <f>IF(Reps!$A18="","",IF(ISNUMBER(I53),I53,IF(8&lt;MAX(1,N(Reps!$D18)),0,N(Reps!$C18)*Setup!$C$18/SUMPRODUCT((Setup!$A$11:$A$22&gt;=MAX(1,N(Reps!$D18)))*Setup!$C$11:$C$22))))</f>
        <v/>
      </c>
      <c r="J18" s="27">
        <f>IF(Reps!$A18="","",IF(ISNUMBER(J53),J53,IF(9&lt;MAX(1,N(Reps!$D18)),0,N(Reps!$C18)*Setup!$C$19/SUMPRODUCT((Setup!$A$11:$A$22&gt;=MAX(1,N(Reps!$D18)))*Setup!$C$11:$C$22))))</f>
        <v/>
      </c>
      <c r="K18" s="27">
        <f>IF(Reps!$A18="","",IF(ISNUMBER(K53),K53,IF(10&lt;MAX(1,N(Reps!$D18)),0,N(Reps!$C18)*Setup!$C$20/SUMPRODUCT((Setup!$A$11:$A$22&gt;=MAX(1,N(Reps!$D18)))*Setup!$C$11:$C$22))))</f>
        <v/>
      </c>
      <c r="L18" s="27">
        <f>IF(Reps!$A18="","",IF(ISNUMBER(L53),L53,IF(11&lt;MAX(1,N(Reps!$D18)),0,N(Reps!$C18)*Setup!$C$21/SUMPRODUCT((Setup!$A$11:$A$22&gt;=MAX(1,N(Reps!$D18)))*Setup!$C$11:$C$22))))</f>
        <v/>
      </c>
      <c r="M18" s="27">
        <f>IF(Reps!$A18="","",IF(ISNUMBER(M53),M53,IF(12&lt;MAX(1,N(Reps!$D18)),0,N(Reps!$C18)*Setup!$C$22/SUMPRODUCT((Setup!$A$11:$A$22&gt;=MAX(1,N(Reps!$D18)))*Setup!$C$11:$C$22))))</f>
        <v/>
      </c>
      <c r="N18" s="25">
        <f>IF($A18="","",SUM(B18:M18))</f>
        <v/>
      </c>
    </row>
    <row r="19" ht="21" customHeight="1">
      <c r="A19" s="15">
        <f>IF(Reps!$A19="","",Reps!$A19)</f>
        <v/>
      </c>
      <c r="B19" s="27">
        <f>IF(Reps!$A19="","",IF(ISNUMBER(B54),B54,IF(1&lt;MAX(1,N(Reps!$D19)),0,N(Reps!$C19)*Setup!$C$11/SUMPRODUCT((Setup!$A$11:$A$22&gt;=MAX(1,N(Reps!$D19)))*Setup!$C$11:$C$22))))</f>
        <v/>
      </c>
      <c r="C19" s="27">
        <f>IF(Reps!$A19="","",IF(ISNUMBER(C54),C54,IF(2&lt;MAX(1,N(Reps!$D19)),0,N(Reps!$C19)*Setup!$C$12/SUMPRODUCT((Setup!$A$11:$A$22&gt;=MAX(1,N(Reps!$D19)))*Setup!$C$11:$C$22))))</f>
        <v/>
      </c>
      <c r="D19" s="27">
        <f>IF(Reps!$A19="","",IF(ISNUMBER(D54),D54,IF(3&lt;MAX(1,N(Reps!$D19)),0,N(Reps!$C19)*Setup!$C$13/SUMPRODUCT((Setup!$A$11:$A$22&gt;=MAX(1,N(Reps!$D19)))*Setup!$C$11:$C$22))))</f>
        <v/>
      </c>
      <c r="E19" s="27">
        <f>IF(Reps!$A19="","",IF(ISNUMBER(E54),E54,IF(4&lt;MAX(1,N(Reps!$D19)),0,N(Reps!$C19)*Setup!$C$14/SUMPRODUCT((Setup!$A$11:$A$22&gt;=MAX(1,N(Reps!$D19)))*Setup!$C$11:$C$22))))</f>
        <v/>
      </c>
      <c r="F19" s="27">
        <f>IF(Reps!$A19="","",IF(ISNUMBER(F54),F54,IF(5&lt;MAX(1,N(Reps!$D19)),0,N(Reps!$C19)*Setup!$C$15/SUMPRODUCT((Setup!$A$11:$A$22&gt;=MAX(1,N(Reps!$D19)))*Setup!$C$11:$C$22))))</f>
        <v/>
      </c>
      <c r="G19" s="27">
        <f>IF(Reps!$A19="","",IF(ISNUMBER(G54),G54,IF(6&lt;MAX(1,N(Reps!$D19)),0,N(Reps!$C19)*Setup!$C$16/SUMPRODUCT((Setup!$A$11:$A$22&gt;=MAX(1,N(Reps!$D19)))*Setup!$C$11:$C$22))))</f>
        <v/>
      </c>
      <c r="H19" s="27">
        <f>IF(Reps!$A19="","",IF(ISNUMBER(H54),H54,IF(7&lt;MAX(1,N(Reps!$D19)),0,N(Reps!$C19)*Setup!$C$17/SUMPRODUCT((Setup!$A$11:$A$22&gt;=MAX(1,N(Reps!$D19)))*Setup!$C$11:$C$22))))</f>
        <v/>
      </c>
      <c r="I19" s="27">
        <f>IF(Reps!$A19="","",IF(ISNUMBER(I54),I54,IF(8&lt;MAX(1,N(Reps!$D19)),0,N(Reps!$C19)*Setup!$C$18/SUMPRODUCT((Setup!$A$11:$A$22&gt;=MAX(1,N(Reps!$D19)))*Setup!$C$11:$C$22))))</f>
        <v/>
      </c>
      <c r="J19" s="27">
        <f>IF(Reps!$A19="","",IF(ISNUMBER(J54),J54,IF(9&lt;MAX(1,N(Reps!$D19)),0,N(Reps!$C19)*Setup!$C$19/SUMPRODUCT((Setup!$A$11:$A$22&gt;=MAX(1,N(Reps!$D19)))*Setup!$C$11:$C$22))))</f>
        <v/>
      </c>
      <c r="K19" s="27">
        <f>IF(Reps!$A19="","",IF(ISNUMBER(K54),K54,IF(10&lt;MAX(1,N(Reps!$D19)),0,N(Reps!$C19)*Setup!$C$20/SUMPRODUCT((Setup!$A$11:$A$22&gt;=MAX(1,N(Reps!$D19)))*Setup!$C$11:$C$22))))</f>
        <v/>
      </c>
      <c r="L19" s="27">
        <f>IF(Reps!$A19="","",IF(ISNUMBER(L54),L54,IF(11&lt;MAX(1,N(Reps!$D19)),0,N(Reps!$C19)*Setup!$C$21/SUMPRODUCT((Setup!$A$11:$A$22&gt;=MAX(1,N(Reps!$D19)))*Setup!$C$11:$C$22))))</f>
        <v/>
      </c>
      <c r="M19" s="27">
        <f>IF(Reps!$A19="","",IF(ISNUMBER(M54),M54,IF(12&lt;MAX(1,N(Reps!$D19)),0,N(Reps!$C19)*Setup!$C$22/SUMPRODUCT((Setup!$A$11:$A$22&gt;=MAX(1,N(Reps!$D19)))*Setup!$C$11:$C$22))))</f>
        <v/>
      </c>
      <c r="N19" s="25">
        <f>IF($A19="","",SUM(B19:M19))</f>
        <v/>
      </c>
    </row>
    <row r="20" ht="21" customHeight="1">
      <c r="A20" s="15">
        <f>IF(Reps!$A20="","",Reps!$A20)</f>
        <v/>
      </c>
      <c r="B20" s="27">
        <f>IF(Reps!$A20="","",IF(ISNUMBER(B55),B55,IF(1&lt;MAX(1,N(Reps!$D20)),0,N(Reps!$C20)*Setup!$C$11/SUMPRODUCT((Setup!$A$11:$A$22&gt;=MAX(1,N(Reps!$D20)))*Setup!$C$11:$C$22))))</f>
        <v/>
      </c>
      <c r="C20" s="27">
        <f>IF(Reps!$A20="","",IF(ISNUMBER(C55),C55,IF(2&lt;MAX(1,N(Reps!$D20)),0,N(Reps!$C20)*Setup!$C$12/SUMPRODUCT((Setup!$A$11:$A$22&gt;=MAX(1,N(Reps!$D20)))*Setup!$C$11:$C$22))))</f>
        <v/>
      </c>
      <c r="D20" s="27">
        <f>IF(Reps!$A20="","",IF(ISNUMBER(D55),D55,IF(3&lt;MAX(1,N(Reps!$D20)),0,N(Reps!$C20)*Setup!$C$13/SUMPRODUCT((Setup!$A$11:$A$22&gt;=MAX(1,N(Reps!$D20)))*Setup!$C$11:$C$22))))</f>
        <v/>
      </c>
      <c r="E20" s="27">
        <f>IF(Reps!$A20="","",IF(ISNUMBER(E55),E55,IF(4&lt;MAX(1,N(Reps!$D20)),0,N(Reps!$C20)*Setup!$C$14/SUMPRODUCT((Setup!$A$11:$A$22&gt;=MAX(1,N(Reps!$D20)))*Setup!$C$11:$C$22))))</f>
        <v/>
      </c>
      <c r="F20" s="27">
        <f>IF(Reps!$A20="","",IF(ISNUMBER(F55),F55,IF(5&lt;MAX(1,N(Reps!$D20)),0,N(Reps!$C20)*Setup!$C$15/SUMPRODUCT((Setup!$A$11:$A$22&gt;=MAX(1,N(Reps!$D20)))*Setup!$C$11:$C$22))))</f>
        <v/>
      </c>
      <c r="G20" s="27">
        <f>IF(Reps!$A20="","",IF(ISNUMBER(G55),G55,IF(6&lt;MAX(1,N(Reps!$D20)),0,N(Reps!$C20)*Setup!$C$16/SUMPRODUCT((Setup!$A$11:$A$22&gt;=MAX(1,N(Reps!$D20)))*Setup!$C$11:$C$22))))</f>
        <v/>
      </c>
      <c r="H20" s="27">
        <f>IF(Reps!$A20="","",IF(ISNUMBER(H55),H55,IF(7&lt;MAX(1,N(Reps!$D20)),0,N(Reps!$C20)*Setup!$C$17/SUMPRODUCT((Setup!$A$11:$A$22&gt;=MAX(1,N(Reps!$D20)))*Setup!$C$11:$C$22))))</f>
        <v/>
      </c>
      <c r="I20" s="27">
        <f>IF(Reps!$A20="","",IF(ISNUMBER(I55),I55,IF(8&lt;MAX(1,N(Reps!$D20)),0,N(Reps!$C20)*Setup!$C$18/SUMPRODUCT((Setup!$A$11:$A$22&gt;=MAX(1,N(Reps!$D20)))*Setup!$C$11:$C$22))))</f>
        <v/>
      </c>
      <c r="J20" s="27">
        <f>IF(Reps!$A20="","",IF(ISNUMBER(J55),J55,IF(9&lt;MAX(1,N(Reps!$D20)),0,N(Reps!$C20)*Setup!$C$19/SUMPRODUCT((Setup!$A$11:$A$22&gt;=MAX(1,N(Reps!$D20)))*Setup!$C$11:$C$22))))</f>
        <v/>
      </c>
      <c r="K20" s="27">
        <f>IF(Reps!$A20="","",IF(ISNUMBER(K55),K55,IF(10&lt;MAX(1,N(Reps!$D20)),0,N(Reps!$C20)*Setup!$C$20/SUMPRODUCT((Setup!$A$11:$A$22&gt;=MAX(1,N(Reps!$D20)))*Setup!$C$11:$C$22))))</f>
        <v/>
      </c>
      <c r="L20" s="27">
        <f>IF(Reps!$A20="","",IF(ISNUMBER(L55),L55,IF(11&lt;MAX(1,N(Reps!$D20)),0,N(Reps!$C20)*Setup!$C$21/SUMPRODUCT((Setup!$A$11:$A$22&gt;=MAX(1,N(Reps!$D20)))*Setup!$C$11:$C$22))))</f>
        <v/>
      </c>
      <c r="M20" s="27">
        <f>IF(Reps!$A20="","",IF(ISNUMBER(M55),M55,IF(12&lt;MAX(1,N(Reps!$D20)),0,N(Reps!$C20)*Setup!$C$22/SUMPRODUCT((Setup!$A$11:$A$22&gt;=MAX(1,N(Reps!$D20)))*Setup!$C$11:$C$22))))</f>
        <v/>
      </c>
      <c r="N20" s="25">
        <f>IF($A20="","",SUM(B20:M20))</f>
        <v/>
      </c>
    </row>
    <row r="21" ht="21" customHeight="1">
      <c r="A21" s="15">
        <f>IF(Reps!$A21="","",Reps!$A21)</f>
        <v/>
      </c>
      <c r="B21" s="27">
        <f>IF(Reps!$A21="","",IF(ISNUMBER(B56),B56,IF(1&lt;MAX(1,N(Reps!$D21)),0,N(Reps!$C21)*Setup!$C$11/SUMPRODUCT((Setup!$A$11:$A$22&gt;=MAX(1,N(Reps!$D21)))*Setup!$C$11:$C$22))))</f>
        <v/>
      </c>
      <c r="C21" s="27">
        <f>IF(Reps!$A21="","",IF(ISNUMBER(C56),C56,IF(2&lt;MAX(1,N(Reps!$D21)),0,N(Reps!$C21)*Setup!$C$12/SUMPRODUCT((Setup!$A$11:$A$22&gt;=MAX(1,N(Reps!$D21)))*Setup!$C$11:$C$22))))</f>
        <v/>
      </c>
      <c r="D21" s="27">
        <f>IF(Reps!$A21="","",IF(ISNUMBER(D56),D56,IF(3&lt;MAX(1,N(Reps!$D21)),0,N(Reps!$C21)*Setup!$C$13/SUMPRODUCT((Setup!$A$11:$A$22&gt;=MAX(1,N(Reps!$D21)))*Setup!$C$11:$C$22))))</f>
        <v/>
      </c>
      <c r="E21" s="27">
        <f>IF(Reps!$A21="","",IF(ISNUMBER(E56),E56,IF(4&lt;MAX(1,N(Reps!$D21)),0,N(Reps!$C21)*Setup!$C$14/SUMPRODUCT((Setup!$A$11:$A$22&gt;=MAX(1,N(Reps!$D21)))*Setup!$C$11:$C$22))))</f>
        <v/>
      </c>
      <c r="F21" s="27">
        <f>IF(Reps!$A21="","",IF(ISNUMBER(F56),F56,IF(5&lt;MAX(1,N(Reps!$D21)),0,N(Reps!$C21)*Setup!$C$15/SUMPRODUCT((Setup!$A$11:$A$22&gt;=MAX(1,N(Reps!$D21)))*Setup!$C$11:$C$22))))</f>
        <v/>
      </c>
      <c r="G21" s="27">
        <f>IF(Reps!$A21="","",IF(ISNUMBER(G56),G56,IF(6&lt;MAX(1,N(Reps!$D21)),0,N(Reps!$C21)*Setup!$C$16/SUMPRODUCT((Setup!$A$11:$A$22&gt;=MAX(1,N(Reps!$D21)))*Setup!$C$11:$C$22))))</f>
        <v/>
      </c>
      <c r="H21" s="27">
        <f>IF(Reps!$A21="","",IF(ISNUMBER(H56),H56,IF(7&lt;MAX(1,N(Reps!$D21)),0,N(Reps!$C21)*Setup!$C$17/SUMPRODUCT((Setup!$A$11:$A$22&gt;=MAX(1,N(Reps!$D21)))*Setup!$C$11:$C$22))))</f>
        <v/>
      </c>
      <c r="I21" s="27">
        <f>IF(Reps!$A21="","",IF(ISNUMBER(I56),I56,IF(8&lt;MAX(1,N(Reps!$D21)),0,N(Reps!$C21)*Setup!$C$18/SUMPRODUCT((Setup!$A$11:$A$22&gt;=MAX(1,N(Reps!$D21)))*Setup!$C$11:$C$22))))</f>
        <v/>
      </c>
      <c r="J21" s="27">
        <f>IF(Reps!$A21="","",IF(ISNUMBER(J56),J56,IF(9&lt;MAX(1,N(Reps!$D21)),0,N(Reps!$C21)*Setup!$C$19/SUMPRODUCT((Setup!$A$11:$A$22&gt;=MAX(1,N(Reps!$D21)))*Setup!$C$11:$C$22))))</f>
        <v/>
      </c>
      <c r="K21" s="27">
        <f>IF(Reps!$A21="","",IF(ISNUMBER(K56),K56,IF(10&lt;MAX(1,N(Reps!$D21)),0,N(Reps!$C21)*Setup!$C$20/SUMPRODUCT((Setup!$A$11:$A$22&gt;=MAX(1,N(Reps!$D21)))*Setup!$C$11:$C$22))))</f>
        <v/>
      </c>
      <c r="L21" s="27">
        <f>IF(Reps!$A21="","",IF(ISNUMBER(L56),L56,IF(11&lt;MAX(1,N(Reps!$D21)),0,N(Reps!$C21)*Setup!$C$21/SUMPRODUCT((Setup!$A$11:$A$22&gt;=MAX(1,N(Reps!$D21)))*Setup!$C$11:$C$22))))</f>
        <v/>
      </c>
      <c r="M21" s="27">
        <f>IF(Reps!$A21="","",IF(ISNUMBER(M56),M56,IF(12&lt;MAX(1,N(Reps!$D21)),0,N(Reps!$C21)*Setup!$C$22/SUMPRODUCT((Setup!$A$11:$A$22&gt;=MAX(1,N(Reps!$D21)))*Setup!$C$11:$C$22))))</f>
        <v/>
      </c>
      <c r="N21" s="25">
        <f>IF($A21="","",SUM(B21:M21))</f>
        <v/>
      </c>
    </row>
    <row r="22" ht="21" customHeight="1">
      <c r="A22" s="15">
        <f>IF(Reps!$A22="","",Reps!$A22)</f>
        <v/>
      </c>
      <c r="B22" s="27">
        <f>IF(Reps!$A22="","",IF(ISNUMBER(B57),B57,IF(1&lt;MAX(1,N(Reps!$D22)),0,N(Reps!$C22)*Setup!$C$11/SUMPRODUCT((Setup!$A$11:$A$22&gt;=MAX(1,N(Reps!$D22)))*Setup!$C$11:$C$22))))</f>
        <v/>
      </c>
      <c r="C22" s="27">
        <f>IF(Reps!$A22="","",IF(ISNUMBER(C57),C57,IF(2&lt;MAX(1,N(Reps!$D22)),0,N(Reps!$C22)*Setup!$C$12/SUMPRODUCT((Setup!$A$11:$A$22&gt;=MAX(1,N(Reps!$D22)))*Setup!$C$11:$C$22))))</f>
        <v/>
      </c>
      <c r="D22" s="27">
        <f>IF(Reps!$A22="","",IF(ISNUMBER(D57),D57,IF(3&lt;MAX(1,N(Reps!$D22)),0,N(Reps!$C22)*Setup!$C$13/SUMPRODUCT((Setup!$A$11:$A$22&gt;=MAX(1,N(Reps!$D22)))*Setup!$C$11:$C$22))))</f>
        <v/>
      </c>
      <c r="E22" s="27">
        <f>IF(Reps!$A22="","",IF(ISNUMBER(E57),E57,IF(4&lt;MAX(1,N(Reps!$D22)),0,N(Reps!$C22)*Setup!$C$14/SUMPRODUCT((Setup!$A$11:$A$22&gt;=MAX(1,N(Reps!$D22)))*Setup!$C$11:$C$22))))</f>
        <v/>
      </c>
      <c r="F22" s="27">
        <f>IF(Reps!$A22="","",IF(ISNUMBER(F57),F57,IF(5&lt;MAX(1,N(Reps!$D22)),0,N(Reps!$C22)*Setup!$C$15/SUMPRODUCT((Setup!$A$11:$A$22&gt;=MAX(1,N(Reps!$D22)))*Setup!$C$11:$C$22))))</f>
        <v/>
      </c>
      <c r="G22" s="27">
        <f>IF(Reps!$A22="","",IF(ISNUMBER(G57),G57,IF(6&lt;MAX(1,N(Reps!$D22)),0,N(Reps!$C22)*Setup!$C$16/SUMPRODUCT((Setup!$A$11:$A$22&gt;=MAX(1,N(Reps!$D22)))*Setup!$C$11:$C$22))))</f>
        <v/>
      </c>
      <c r="H22" s="27">
        <f>IF(Reps!$A22="","",IF(ISNUMBER(H57),H57,IF(7&lt;MAX(1,N(Reps!$D22)),0,N(Reps!$C22)*Setup!$C$17/SUMPRODUCT((Setup!$A$11:$A$22&gt;=MAX(1,N(Reps!$D22)))*Setup!$C$11:$C$22))))</f>
        <v/>
      </c>
      <c r="I22" s="27">
        <f>IF(Reps!$A22="","",IF(ISNUMBER(I57),I57,IF(8&lt;MAX(1,N(Reps!$D22)),0,N(Reps!$C22)*Setup!$C$18/SUMPRODUCT((Setup!$A$11:$A$22&gt;=MAX(1,N(Reps!$D22)))*Setup!$C$11:$C$22))))</f>
        <v/>
      </c>
      <c r="J22" s="27">
        <f>IF(Reps!$A22="","",IF(ISNUMBER(J57),J57,IF(9&lt;MAX(1,N(Reps!$D22)),0,N(Reps!$C22)*Setup!$C$19/SUMPRODUCT((Setup!$A$11:$A$22&gt;=MAX(1,N(Reps!$D22)))*Setup!$C$11:$C$22))))</f>
        <v/>
      </c>
      <c r="K22" s="27">
        <f>IF(Reps!$A22="","",IF(ISNUMBER(K57),K57,IF(10&lt;MAX(1,N(Reps!$D22)),0,N(Reps!$C22)*Setup!$C$20/SUMPRODUCT((Setup!$A$11:$A$22&gt;=MAX(1,N(Reps!$D22)))*Setup!$C$11:$C$22))))</f>
        <v/>
      </c>
      <c r="L22" s="27">
        <f>IF(Reps!$A22="","",IF(ISNUMBER(L57),L57,IF(11&lt;MAX(1,N(Reps!$D22)),0,N(Reps!$C22)*Setup!$C$21/SUMPRODUCT((Setup!$A$11:$A$22&gt;=MAX(1,N(Reps!$D22)))*Setup!$C$11:$C$22))))</f>
        <v/>
      </c>
      <c r="M22" s="27">
        <f>IF(Reps!$A22="","",IF(ISNUMBER(M57),M57,IF(12&lt;MAX(1,N(Reps!$D22)),0,N(Reps!$C22)*Setup!$C$22/SUMPRODUCT((Setup!$A$11:$A$22&gt;=MAX(1,N(Reps!$D22)))*Setup!$C$11:$C$22))))</f>
        <v/>
      </c>
      <c r="N22" s="25">
        <f>IF($A22="","",SUM(B22:M22))</f>
        <v/>
      </c>
    </row>
    <row r="23" ht="21" customHeight="1">
      <c r="A23" s="15">
        <f>IF(Reps!$A23="","",Reps!$A23)</f>
        <v/>
      </c>
      <c r="B23" s="27">
        <f>IF(Reps!$A23="","",IF(ISNUMBER(B58),B58,IF(1&lt;MAX(1,N(Reps!$D23)),0,N(Reps!$C23)*Setup!$C$11/SUMPRODUCT((Setup!$A$11:$A$22&gt;=MAX(1,N(Reps!$D23)))*Setup!$C$11:$C$22))))</f>
        <v/>
      </c>
      <c r="C23" s="27">
        <f>IF(Reps!$A23="","",IF(ISNUMBER(C58),C58,IF(2&lt;MAX(1,N(Reps!$D23)),0,N(Reps!$C23)*Setup!$C$12/SUMPRODUCT((Setup!$A$11:$A$22&gt;=MAX(1,N(Reps!$D23)))*Setup!$C$11:$C$22))))</f>
        <v/>
      </c>
      <c r="D23" s="27">
        <f>IF(Reps!$A23="","",IF(ISNUMBER(D58),D58,IF(3&lt;MAX(1,N(Reps!$D23)),0,N(Reps!$C23)*Setup!$C$13/SUMPRODUCT((Setup!$A$11:$A$22&gt;=MAX(1,N(Reps!$D23)))*Setup!$C$11:$C$22))))</f>
        <v/>
      </c>
      <c r="E23" s="27">
        <f>IF(Reps!$A23="","",IF(ISNUMBER(E58),E58,IF(4&lt;MAX(1,N(Reps!$D23)),0,N(Reps!$C23)*Setup!$C$14/SUMPRODUCT((Setup!$A$11:$A$22&gt;=MAX(1,N(Reps!$D23)))*Setup!$C$11:$C$22))))</f>
        <v/>
      </c>
      <c r="F23" s="27">
        <f>IF(Reps!$A23="","",IF(ISNUMBER(F58),F58,IF(5&lt;MAX(1,N(Reps!$D23)),0,N(Reps!$C23)*Setup!$C$15/SUMPRODUCT((Setup!$A$11:$A$22&gt;=MAX(1,N(Reps!$D23)))*Setup!$C$11:$C$22))))</f>
        <v/>
      </c>
      <c r="G23" s="27">
        <f>IF(Reps!$A23="","",IF(ISNUMBER(G58),G58,IF(6&lt;MAX(1,N(Reps!$D23)),0,N(Reps!$C23)*Setup!$C$16/SUMPRODUCT((Setup!$A$11:$A$22&gt;=MAX(1,N(Reps!$D23)))*Setup!$C$11:$C$22))))</f>
        <v/>
      </c>
      <c r="H23" s="27">
        <f>IF(Reps!$A23="","",IF(ISNUMBER(H58),H58,IF(7&lt;MAX(1,N(Reps!$D23)),0,N(Reps!$C23)*Setup!$C$17/SUMPRODUCT((Setup!$A$11:$A$22&gt;=MAX(1,N(Reps!$D23)))*Setup!$C$11:$C$22))))</f>
        <v/>
      </c>
      <c r="I23" s="27">
        <f>IF(Reps!$A23="","",IF(ISNUMBER(I58),I58,IF(8&lt;MAX(1,N(Reps!$D23)),0,N(Reps!$C23)*Setup!$C$18/SUMPRODUCT((Setup!$A$11:$A$22&gt;=MAX(1,N(Reps!$D23)))*Setup!$C$11:$C$22))))</f>
        <v/>
      </c>
      <c r="J23" s="27">
        <f>IF(Reps!$A23="","",IF(ISNUMBER(J58),J58,IF(9&lt;MAX(1,N(Reps!$D23)),0,N(Reps!$C23)*Setup!$C$19/SUMPRODUCT((Setup!$A$11:$A$22&gt;=MAX(1,N(Reps!$D23)))*Setup!$C$11:$C$22))))</f>
        <v/>
      </c>
      <c r="K23" s="27">
        <f>IF(Reps!$A23="","",IF(ISNUMBER(K58),K58,IF(10&lt;MAX(1,N(Reps!$D23)),0,N(Reps!$C23)*Setup!$C$20/SUMPRODUCT((Setup!$A$11:$A$22&gt;=MAX(1,N(Reps!$D23)))*Setup!$C$11:$C$22))))</f>
        <v/>
      </c>
      <c r="L23" s="27">
        <f>IF(Reps!$A23="","",IF(ISNUMBER(L58),L58,IF(11&lt;MAX(1,N(Reps!$D23)),0,N(Reps!$C23)*Setup!$C$21/SUMPRODUCT((Setup!$A$11:$A$22&gt;=MAX(1,N(Reps!$D23)))*Setup!$C$11:$C$22))))</f>
        <v/>
      </c>
      <c r="M23" s="27">
        <f>IF(Reps!$A23="","",IF(ISNUMBER(M58),M58,IF(12&lt;MAX(1,N(Reps!$D23)),0,N(Reps!$C23)*Setup!$C$22/SUMPRODUCT((Setup!$A$11:$A$22&gt;=MAX(1,N(Reps!$D23)))*Setup!$C$11:$C$22))))</f>
        <v/>
      </c>
      <c r="N23" s="25">
        <f>IF($A23="","",SUM(B23:M23))</f>
        <v/>
      </c>
    </row>
    <row r="24" ht="21" customHeight="1">
      <c r="A24" s="15">
        <f>IF(Reps!$A24="","",Reps!$A24)</f>
        <v/>
      </c>
      <c r="B24" s="27">
        <f>IF(Reps!$A24="","",IF(ISNUMBER(B59),B59,IF(1&lt;MAX(1,N(Reps!$D24)),0,N(Reps!$C24)*Setup!$C$11/SUMPRODUCT((Setup!$A$11:$A$22&gt;=MAX(1,N(Reps!$D24)))*Setup!$C$11:$C$22))))</f>
        <v/>
      </c>
      <c r="C24" s="27">
        <f>IF(Reps!$A24="","",IF(ISNUMBER(C59),C59,IF(2&lt;MAX(1,N(Reps!$D24)),0,N(Reps!$C24)*Setup!$C$12/SUMPRODUCT((Setup!$A$11:$A$22&gt;=MAX(1,N(Reps!$D24)))*Setup!$C$11:$C$22))))</f>
        <v/>
      </c>
      <c r="D24" s="27">
        <f>IF(Reps!$A24="","",IF(ISNUMBER(D59),D59,IF(3&lt;MAX(1,N(Reps!$D24)),0,N(Reps!$C24)*Setup!$C$13/SUMPRODUCT((Setup!$A$11:$A$22&gt;=MAX(1,N(Reps!$D24)))*Setup!$C$11:$C$22))))</f>
        <v/>
      </c>
      <c r="E24" s="27">
        <f>IF(Reps!$A24="","",IF(ISNUMBER(E59),E59,IF(4&lt;MAX(1,N(Reps!$D24)),0,N(Reps!$C24)*Setup!$C$14/SUMPRODUCT((Setup!$A$11:$A$22&gt;=MAX(1,N(Reps!$D24)))*Setup!$C$11:$C$22))))</f>
        <v/>
      </c>
      <c r="F24" s="27">
        <f>IF(Reps!$A24="","",IF(ISNUMBER(F59),F59,IF(5&lt;MAX(1,N(Reps!$D24)),0,N(Reps!$C24)*Setup!$C$15/SUMPRODUCT((Setup!$A$11:$A$22&gt;=MAX(1,N(Reps!$D24)))*Setup!$C$11:$C$22))))</f>
        <v/>
      </c>
      <c r="G24" s="27">
        <f>IF(Reps!$A24="","",IF(ISNUMBER(G59),G59,IF(6&lt;MAX(1,N(Reps!$D24)),0,N(Reps!$C24)*Setup!$C$16/SUMPRODUCT((Setup!$A$11:$A$22&gt;=MAX(1,N(Reps!$D24)))*Setup!$C$11:$C$22))))</f>
        <v/>
      </c>
      <c r="H24" s="27">
        <f>IF(Reps!$A24="","",IF(ISNUMBER(H59),H59,IF(7&lt;MAX(1,N(Reps!$D24)),0,N(Reps!$C24)*Setup!$C$17/SUMPRODUCT((Setup!$A$11:$A$22&gt;=MAX(1,N(Reps!$D24)))*Setup!$C$11:$C$22))))</f>
        <v/>
      </c>
      <c r="I24" s="27">
        <f>IF(Reps!$A24="","",IF(ISNUMBER(I59),I59,IF(8&lt;MAX(1,N(Reps!$D24)),0,N(Reps!$C24)*Setup!$C$18/SUMPRODUCT((Setup!$A$11:$A$22&gt;=MAX(1,N(Reps!$D24)))*Setup!$C$11:$C$22))))</f>
        <v/>
      </c>
      <c r="J24" s="27">
        <f>IF(Reps!$A24="","",IF(ISNUMBER(J59),J59,IF(9&lt;MAX(1,N(Reps!$D24)),0,N(Reps!$C24)*Setup!$C$19/SUMPRODUCT((Setup!$A$11:$A$22&gt;=MAX(1,N(Reps!$D24)))*Setup!$C$11:$C$22))))</f>
        <v/>
      </c>
      <c r="K24" s="27">
        <f>IF(Reps!$A24="","",IF(ISNUMBER(K59),K59,IF(10&lt;MAX(1,N(Reps!$D24)),0,N(Reps!$C24)*Setup!$C$20/SUMPRODUCT((Setup!$A$11:$A$22&gt;=MAX(1,N(Reps!$D24)))*Setup!$C$11:$C$22))))</f>
        <v/>
      </c>
      <c r="L24" s="27">
        <f>IF(Reps!$A24="","",IF(ISNUMBER(L59),L59,IF(11&lt;MAX(1,N(Reps!$D24)),0,N(Reps!$C24)*Setup!$C$21/SUMPRODUCT((Setup!$A$11:$A$22&gt;=MAX(1,N(Reps!$D24)))*Setup!$C$11:$C$22))))</f>
        <v/>
      </c>
      <c r="M24" s="27">
        <f>IF(Reps!$A24="","",IF(ISNUMBER(M59),M59,IF(12&lt;MAX(1,N(Reps!$D24)),0,N(Reps!$C24)*Setup!$C$22/SUMPRODUCT((Setup!$A$11:$A$22&gt;=MAX(1,N(Reps!$D24)))*Setup!$C$11:$C$22))))</f>
        <v/>
      </c>
      <c r="N24" s="25">
        <f>IF($A24="","",SUM(B24:M24))</f>
        <v/>
      </c>
    </row>
    <row r="25" ht="21" customHeight="1">
      <c r="A25" s="15">
        <f>IF(Reps!$A25="","",Reps!$A25)</f>
        <v/>
      </c>
      <c r="B25" s="27">
        <f>IF(Reps!$A25="","",IF(ISNUMBER(B60),B60,IF(1&lt;MAX(1,N(Reps!$D25)),0,N(Reps!$C25)*Setup!$C$11/SUMPRODUCT((Setup!$A$11:$A$22&gt;=MAX(1,N(Reps!$D25)))*Setup!$C$11:$C$22))))</f>
        <v/>
      </c>
      <c r="C25" s="27">
        <f>IF(Reps!$A25="","",IF(ISNUMBER(C60),C60,IF(2&lt;MAX(1,N(Reps!$D25)),0,N(Reps!$C25)*Setup!$C$12/SUMPRODUCT((Setup!$A$11:$A$22&gt;=MAX(1,N(Reps!$D25)))*Setup!$C$11:$C$22))))</f>
        <v/>
      </c>
      <c r="D25" s="27">
        <f>IF(Reps!$A25="","",IF(ISNUMBER(D60),D60,IF(3&lt;MAX(1,N(Reps!$D25)),0,N(Reps!$C25)*Setup!$C$13/SUMPRODUCT((Setup!$A$11:$A$22&gt;=MAX(1,N(Reps!$D25)))*Setup!$C$11:$C$22))))</f>
        <v/>
      </c>
      <c r="E25" s="27">
        <f>IF(Reps!$A25="","",IF(ISNUMBER(E60),E60,IF(4&lt;MAX(1,N(Reps!$D25)),0,N(Reps!$C25)*Setup!$C$14/SUMPRODUCT((Setup!$A$11:$A$22&gt;=MAX(1,N(Reps!$D25)))*Setup!$C$11:$C$22))))</f>
        <v/>
      </c>
      <c r="F25" s="27">
        <f>IF(Reps!$A25="","",IF(ISNUMBER(F60),F60,IF(5&lt;MAX(1,N(Reps!$D25)),0,N(Reps!$C25)*Setup!$C$15/SUMPRODUCT((Setup!$A$11:$A$22&gt;=MAX(1,N(Reps!$D25)))*Setup!$C$11:$C$22))))</f>
        <v/>
      </c>
      <c r="G25" s="27">
        <f>IF(Reps!$A25="","",IF(ISNUMBER(G60),G60,IF(6&lt;MAX(1,N(Reps!$D25)),0,N(Reps!$C25)*Setup!$C$16/SUMPRODUCT((Setup!$A$11:$A$22&gt;=MAX(1,N(Reps!$D25)))*Setup!$C$11:$C$22))))</f>
        <v/>
      </c>
      <c r="H25" s="27">
        <f>IF(Reps!$A25="","",IF(ISNUMBER(H60),H60,IF(7&lt;MAX(1,N(Reps!$D25)),0,N(Reps!$C25)*Setup!$C$17/SUMPRODUCT((Setup!$A$11:$A$22&gt;=MAX(1,N(Reps!$D25)))*Setup!$C$11:$C$22))))</f>
        <v/>
      </c>
      <c r="I25" s="27">
        <f>IF(Reps!$A25="","",IF(ISNUMBER(I60),I60,IF(8&lt;MAX(1,N(Reps!$D25)),0,N(Reps!$C25)*Setup!$C$18/SUMPRODUCT((Setup!$A$11:$A$22&gt;=MAX(1,N(Reps!$D25)))*Setup!$C$11:$C$22))))</f>
        <v/>
      </c>
      <c r="J25" s="27">
        <f>IF(Reps!$A25="","",IF(ISNUMBER(J60),J60,IF(9&lt;MAX(1,N(Reps!$D25)),0,N(Reps!$C25)*Setup!$C$19/SUMPRODUCT((Setup!$A$11:$A$22&gt;=MAX(1,N(Reps!$D25)))*Setup!$C$11:$C$22))))</f>
        <v/>
      </c>
      <c r="K25" s="27">
        <f>IF(Reps!$A25="","",IF(ISNUMBER(K60),K60,IF(10&lt;MAX(1,N(Reps!$D25)),0,N(Reps!$C25)*Setup!$C$20/SUMPRODUCT((Setup!$A$11:$A$22&gt;=MAX(1,N(Reps!$D25)))*Setup!$C$11:$C$22))))</f>
        <v/>
      </c>
      <c r="L25" s="27">
        <f>IF(Reps!$A25="","",IF(ISNUMBER(L60),L60,IF(11&lt;MAX(1,N(Reps!$D25)),0,N(Reps!$C25)*Setup!$C$21/SUMPRODUCT((Setup!$A$11:$A$22&gt;=MAX(1,N(Reps!$D25)))*Setup!$C$11:$C$22))))</f>
        <v/>
      </c>
      <c r="M25" s="27">
        <f>IF(Reps!$A25="","",IF(ISNUMBER(M60),M60,IF(12&lt;MAX(1,N(Reps!$D25)),0,N(Reps!$C25)*Setup!$C$22/SUMPRODUCT((Setup!$A$11:$A$22&gt;=MAX(1,N(Reps!$D25)))*Setup!$C$11:$C$22))))</f>
        <v/>
      </c>
      <c r="N25" s="25">
        <f>IF($A25="","",SUM(B25:M25))</f>
        <v/>
      </c>
    </row>
    <row r="26" ht="21" customHeight="1">
      <c r="A26" s="15">
        <f>IF(Reps!$A26="","",Reps!$A26)</f>
        <v/>
      </c>
      <c r="B26" s="27">
        <f>IF(Reps!$A26="","",IF(ISNUMBER(B61),B61,IF(1&lt;MAX(1,N(Reps!$D26)),0,N(Reps!$C26)*Setup!$C$11/SUMPRODUCT((Setup!$A$11:$A$22&gt;=MAX(1,N(Reps!$D26)))*Setup!$C$11:$C$22))))</f>
        <v/>
      </c>
      <c r="C26" s="27">
        <f>IF(Reps!$A26="","",IF(ISNUMBER(C61),C61,IF(2&lt;MAX(1,N(Reps!$D26)),0,N(Reps!$C26)*Setup!$C$12/SUMPRODUCT((Setup!$A$11:$A$22&gt;=MAX(1,N(Reps!$D26)))*Setup!$C$11:$C$22))))</f>
        <v/>
      </c>
      <c r="D26" s="27">
        <f>IF(Reps!$A26="","",IF(ISNUMBER(D61),D61,IF(3&lt;MAX(1,N(Reps!$D26)),0,N(Reps!$C26)*Setup!$C$13/SUMPRODUCT((Setup!$A$11:$A$22&gt;=MAX(1,N(Reps!$D26)))*Setup!$C$11:$C$22))))</f>
        <v/>
      </c>
      <c r="E26" s="27">
        <f>IF(Reps!$A26="","",IF(ISNUMBER(E61),E61,IF(4&lt;MAX(1,N(Reps!$D26)),0,N(Reps!$C26)*Setup!$C$14/SUMPRODUCT((Setup!$A$11:$A$22&gt;=MAX(1,N(Reps!$D26)))*Setup!$C$11:$C$22))))</f>
        <v/>
      </c>
      <c r="F26" s="27">
        <f>IF(Reps!$A26="","",IF(ISNUMBER(F61),F61,IF(5&lt;MAX(1,N(Reps!$D26)),0,N(Reps!$C26)*Setup!$C$15/SUMPRODUCT((Setup!$A$11:$A$22&gt;=MAX(1,N(Reps!$D26)))*Setup!$C$11:$C$22))))</f>
        <v/>
      </c>
      <c r="G26" s="27">
        <f>IF(Reps!$A26="","",IF(ISNUMBER(G61),G61,IF(6&lt;MAX(1,N(Reps!$D26)),0,N(Reps!$C26)*Setup!$C$16/SUMPRODUCT((Setup!$A$11:$A$22&gt;=MAX(1,N(Reps!$D26)))*Setup!$C$11:$C$22))))</f>
        <v/>
      </c>
      <c r="H26" s="27">
        <f>IF(Reps!$A26="","",IF(ISNUMBER(H61),H61,IF(7&lt;MAX(1,N(Reps!$D26)),0,N(Reps!$C26)*Setup!$C$17/SUMPRODUCT((Setup!$A$11:$A$22&gt;=MAX(1,N(Reps!$D26)))*Setup!$C$11:$C$22))))</f>
        <v/>
      </c>
      <c r="I26" s="27">
        <f>IF(Reps!$A26="","",IF(ISNUMBER(I61),I61,IF(8&lt;MAX(1,N(Reps!$D26)),0,N(Reps!$C26)*Setup!$C$18/SUMPRODUCT((Setup!$A$11:$A$22&gt;=MAX(1,N(Reps!$D26)))*Setup!$C$11:$C$22))))</f>
        <v/>
      </c>
      <c r="J26" s="27">
        <f>IF(Reps!$A26="","",IF(ISNUMBER(J61),J61,IF(9&lt;MAX(1,N(Reps!$D26)),0,N(Reps!$C26)*Setup!$C$19/SUMPRODUCT((Setup!$A$11:$A$22&gt;=MAX(1,N(Reps!$D26)))*Setup!$C$11:$C$22))))</f>
        <v/>
      </c>
      <c r="K26" s="27">
        <f>IF(Reps!$A26="","",IF(ISNUMBER(K61),K61,IF(10&lt;MAX(1,N(Reps!$D26)),0,N(Reps!$C26)*Setup!$C$20/SUMPRODUCT((Setup!$A$11:$A$22&gt;=MAX(1,N(Reps!$D26)))*Setup!$C$11:$C$22))))</f>
        <v/>
      </c>
      <c r="L26" s="27">
        <f>IF(Reps!$A26="","",IF(ISNUMBER(L61),L61,IF(11&lt;MAX(1,N(Reps!$D26)),0,N(Reps!$C26)*Setup!$C$21/SUMPRODUCT((Setup!$A$11:$A$22&gt;=MAX(1,N(Reps!$D26)))*Setup!$C$11:$C$22))))</f>
        <v/>
      </c>
      <c r="M26" s="27">
        <f>IF(Reps!$A26="","",IF(ISNUMBER(M61),M61,IF(12&lt;MAX(1,N(Reps!$D26)),0,N(Reps!$C26)*Setup!$C$22/SUMPRODUCT((Setup!$A$11:$A$22&gt;=MAX(1,N(Reps!$D26)))*Setup!$C$11:$C$22))))</f>
        <v/>
      </c>
      <c r="N26" s="25">
        <f>IF($A26="","",SUM(B26:M26))</f>
        <v/>
      </c>
    </row>
    <row r="27" ht="21" customHeight="1">
      <c r="A27" s="15">
        <f>IF(Reps!$A27="","",Reps!$A27)</f>
        <v/>
      </c>
      <c r="B27" s="27">
        <f>IF(Reps!$A27="","",IF(ISNUMBER(B62),B62,IF(1&lt;MAX(1,N(Reps!$D27)),0,N(Reps!$C27)*Setup!$C$11/SUMPRODUCT((Setup!$A$11:$A$22&gt;=MAX(1,N(Reps!$D27)))*Setup!$C$11:$C$22))))</f>
        <v/>
      </c>
      <c r="C27" s="27">
        <f>IF(Reps!$A27="","",IF(ISNUMBER(C62),C62,IF(2&lt;MAX(1,N(Reps!$D27)),0,N(Reps!$C27)*Setup!$C$12/SUMPRODUCT((Setup!$A$11:$A$22&gt;=MAX(1,N(Reps!$D27)))*Setup!$C$11:$C$22))))</f>
        <v/>
      </c>
      <c r="D27" s="27">
        <f>IF(Reps!$A27="","",IF(ISNUMBER(D62),D62,IF(3&lt;MAX(1,N(Reps!$D27)),0,N(Reps!$C27)*Setup!$C$13/SUMPRODUCT((Setup!$A$11:$A$22&gt;=MAX(1,N(Reps!$D27)))*Setup!$C$11:$C$22))))</f>
        <v/>
      </c>
      <c r="E27" s="27">
        <f>IF(Reps!$A27="","",IF(ISNUMBER(E62),E62,IF(4&lt;MAX(1,N(Reps!$D27)),0,N(Reps!$C27)*Setup!$C$14/SUMPRODUCT((Setup!$A$11:$A$22&gt;=MAX(1,N(Reps!$D27)))*Setup!$C$11:$C$22))))</f>
        <v/>
      </c>
      <c r="F27" s="27">
        <f>IF(Reps!$A27="","",IF(ISNUMBER(F62),F62,IF(5&lt;MAX(1,N(Reps!$D27)),0,N(Reps!$C27)*Setup!$C$15/SUMPRODUCT((Setup!$A$11:$A$22&gt;=MAX(1,N(Reps!$D27)))*Setup!$C$11:$C$22))))</f>
        <v/>
      </c>
      <c r="G27" s="27">
        <f>IF(Reps!$A27="","",IF(ISNUMBER(G62),G62,IF(6&lt;MAX(1,N(Reps!$D27)),0,N(Reps!$C27)*Setup!$C$16/SUMPRODUCT((Setup!$A$11:$A$22&gt;=MAX(1,N(Reps!$D27)))*Setup!$C$11:$C$22))))</f>
        <v/>
      </c>
      <c r="H27" s="27">
        <f>IF(Reps!$A27="","",IF(ISNUMBER(H62),H62,IF(7&lt;MAX(1,N(Reps!$D27)),0,N(Reps!$C27)*Setup!$C$17/SUMPRODUCT((Setup!$A$11:$A$22&gt;=MAX(1,N(Reps!$D27)))*Setup!$C$11:$C$22))))</f>
        <v/>
      </c>
      <c r="I27" s="27">
        <f>IF(Reps!$A27="","",IF(ISNUMBER(I62),I62,IF(8&lt;MAX(1,N(Reps!$D27)),0,N(Reps!$C27)*Setup!$C$18/SUMPRODUCT((Setup!$A$11:$A$22&gt;=MAX(1,N(Reps!$D27)))*Setup!$C$11:$C$22))))</f>
        <v/>
      </c>
      <c r="J27" s="27">
        <f>IF(Reps!$A27="","",IF(ISNUMBER(J62),J62,IF(9&lt;MAX(1,N(Reps!$D27)),0,N(Reps!$C27)*Setup!$C$19/SUMPRODUCT((Setup!$A$11:$A$22&gt;=MAX(1,N(Reps!$D27)))*Setup!$C$11:$C$22))))</f>
        <v/>
      </c>
      <c r="K27" s="27">
        <f>IF(Reps!$A27="","",IF(ISNUMBER(K62),K62,IF(10&lt;MAX(1,N(Reps!$D27)),0,N(Reps!$C27)*Setup!$C$20/SUMPRODUCT((Setup!$A$11:$A$22&gt;=MAX(1,N(Reps!$D27)))*Setup!$C$11:$C$22))))</f>
        <v/>
      </c>
      <c r="L27" s="27">
        <f>IF(Reps!$A27="","",IF(ISNUMBER(L62),L62,IF(11&lt;MAX(1,N(Reps!$D27)),0,N(Reps!$C27)*Setup!$C$21/SUMPRODUCT((Setup!$A$11:$A$22&gt;=MAX(1,N(Reps!$D27)))*Setup!$C$11:$C$22))))</f>
        <v/>
      </c>
      <c r="M27" s="27">
        <f>IF(Reps!$A27="","",IF(ISNUMBER(M62),M62,IF(12&lt;MAX(1,N(Reps!$D27)),0,N(Reps!$C27)*Setup!$C$22/SUMPRODUCT((Setup!$A$11:$A$22&gt;=MAX(1,N(Reps!$D27)))*Setup!$C$11:$C$22))))</f>
        <v/>
      </c>
      <c r="N27" s="25">
        <f>IF($A27="","",SUM(B27:M27))</f>
        <v/>
      </c>
    </row>
    <row r="28" ht="21" customHeight="1">
      <c r="A28" s="15">
        <f>IF(Reps!$A28="","",Reps!$A28)</f>
        <v/>
      </c>
      <c r="B28" s="27">
        <f>IF(Reps!$A28="","",IF(ISNUMBER(B63),B63,IF(1&lt;MAX(1,N(Reps!$D28)),0,N(Reps!$C28)*Setup!$C$11/SUMPRODUCT((Setup!$A$11:$A$22&gt;=MAX(1,N(Reps!$D28)))*Setup!$C$11:$C$22))))</f>
        <v/>
      </c>
      <c r="C28" s="27">
        <f>IF(Reps!$A28="","",IF(ISNUMBER(C63),C63,IF(2&lt;MAX(1,N(Reps!$D28)),0,N(Reps!$C28)*Setup!$C$12/SUMPRODUCT((Setup!$A$11:$A$22&gt;=MAX(1,N(Reps!$D28)))*Setup!$C$11:$C$22))))</f>
        <v/>
      </c>
      <c r="D28" s="27">
        <f>IF(Reps!$A28="","",IF(ISNUMBER(D63),D63,IF(3&lt;MAX(1,N(Reps!$D28)),0,N(Reps!$C28)*Setup!$C$13/SUMPRODUCT((Setup!$A$11:$A$22&gt;=MAX(1,N(Reps!$D28)))*Setup!$C$11:$C$22))))</f>
        <v/>
      </c>
      <c r="E28" s="27">
        <f>IF(Reps!$A28="","",IF(ISNUMBER(E63),E63,IF(4&lt;MAX(1,N(Reps!$D28)),0,N(Reps!$C28)*Setup!$C$14/SUMPRODUCT((Setup!$A$11:$A$22&gt;=MAX(1,N(Reps!$D28)))*Setup!$C$11:$C$22))))</f>
        <v/>
      </c>
      <c r="F28" s="27">
        <f>IF(Reps!$A28="","",IF(ISNUMBER(F63),F63,IF(5&lt;MAX(1,N(Reps!$D28)),0,N(Reps!$C28)*Setup!$C$15/SUMPRODUCT((Setup!$A$11:$A$22&gt;=MAX(1,N(Reps!$D28)))*Setup!$C$11:$C$22))))</f>
        <v/>
      </c>
      <c r="G28" s="27">
        <f>IF(Reps!$A28="","",IF(ISNUMBER(G63),G63,IF(6&lt;MAX(1,N(Reps!$D28)),0,N(Reps!$C28)*Setup!$C$16/SUMPRODUCT((Setup!$A$11:$A$22&gt;=MAX(1,N(Reps!$D28)))*Setup!$C$11:$C$22))))</f>
        <v/>
      </c>
      <c r="H28" s="27">
        <f>IF(Reps!$A28="","",IF(ISNUMBER(H63),H63,IF(7&lt;MAX(1,N(Reps!$D28)),0,N(Reps!$C28)*Setup!$C$17/SUMPRODUCT((Setup!$A$11:$A$22&gt;=MAX(1,N(Reps!$D28)))*Setup!$C$11:$C$22))))</f>
        <v/>
      </c>
      <c r="I28" s="27">
        <f>IF(Reps!$A28="","",IF(ISNUMBER(I63),I63,IF(8&lt;MAX(1,N(Reps!$D28)),0,N(Reps!$C28)*Setup!$C$18/SUMPRODUCT((Setup!$A$11:$A$22&gt;=MAX(1,N(Reps!$D28)))*Setup!$C$11:$C$22))))</f>
        <v/>
      </c>
      <c r="J28" s="27">
        <f>IF(Reps!$A28="","",IF(ISNUMBER(J63),J63,IF(9&lt;MAX(1,N(Reps!$D28)),0,N(Reps!$C28)*Setup!$C$19/SUMPRODUCT((Setup!$A$11:$A$22&gt;=MAX(1,N(Reps!$D28)))*Setup!$C$11:$C$22))))</f>
        <v/>
      </c>
      <c r="K28" s="27">
        <f>IF(Reps!$A28="","",IF(ISNUMBER(K63),K63,IF(10&lt;MAX(1,N(Reps!$D28)),0,N(Reps!$C28)*Setup!$C$20/SUMPRODUCT((Setup!$A$11:$A$22&gt;=MAX(1,N(Reps!$D28)))*Setup!$C$11:$C$22))))</f>
        <v/>
      </c>
      <c r="L28" s="27">
        <f>IF(Reps!$A28="","",IF(ISNUMBER(L63),L63,IF(11&lt;MAX(1,N(Reps!$D28)),0,N(Reps!$C28)*Setup!$C$21/SUMPRODUCT((Setup!$A$11:$A$22&gt;=MAX(1,N(Reps!$D28)))*Setup!$C$11:$C$22))))</f>
        <v/>
      </c>
      <c r="M28" s="27">
        <f>IF(Reps!$A28="","",IF(ISNUMBER(M63),M63,IF(12&lt;MAX(1,N(Reps!$D28)),0,N(Reps!$C28)*Setup!$C$22/SUMPRODUCT((Setup!$A$11:$A$22&gt;=MAX(1,N(Reps!$D28)))*Setup!$C$11:$C$22))))</f>
        <v/>
      </c>
      <c r="N28" s="25">
        <f>IF($A28="","",SUM(B28:M28))</f>
        <v/>
      </c>
    </row>
    <row r="29" ht="21" customHeight="1">
      <c r="A29" s="15">
        <f>IF(Reps!$A29="","",Reps!$A29)</f>
        <v/>
      </c>
      <c r="B29" s="27">
        <f>IF(Reps!$A29="","",IF(ISNUMBER(B64),B64,IF(1&lt;MAX(1,N(Reps!$D29)),0,N(Reps!$C29)*Setup!$C$11/SUMPRODUCT((Setup!$A$11:$A$22&gt;=MAX(1,N(Reps!$D29)))*Setup!$C$11:$C$22))))</f>
        <v/>
      </c>
      <c r="C29" s="27">
        <f>IF(Reps!$A29="","",IF(ISNUMBER(C64),C64,IF(2&lt;MAX(1,N(Reps!$D29)),0,N(Reps!$C29)*Setup!$C$12/SUMPRODUCT((Setup!$A$11:$A$22&gt;=MAX(1,N(Reps!$D29)))*Setup!$C$11:$C$22))))</f>
        <v/>
      </c>
      <c r="D29" s="27">
        <f>IF(Reps!$A29="","",IF(ISNUMBER(D64),D64,IF(3&lt;MAX(1,N(Reps!$D29)),0,N(Reps!$C29)*Setup!$C$13/SUMPRODUCT((Setup!$A$11:$A$22&gt;=MAX(1,N(Reps!$D29)))*Setup!$C$11:$C$22))))</f>
        <v/>
      </c>
      <c r="E29" s="27">
        <f>IF(Reps!$A29="","",IF(ISNUMBER(E64),E64,IF(4&lt;MAX(1,N(Reps!$D29)),0,N(Reps!$C29)*Setup!$C$14/SUMPRODUCT((Setup!$A$11:$A$22&gt;=MAX(1,N(Reps!$D29)))*Setup!$C$11:$C$22))))</f>
        <v/>
      </c>
      <c r="F29" s="27">
        <f>IF(Reps!$A29="","",IF(ISNUMBER(F64),F64,IF(5&lt;MAX(1,N(Reps!$D29)),0,N(Reps!$C29)*Setup!$C$15/SUMPRODUCT((Setup!$A$11:$A$22&gt;=MAX(1,N(Reps!$D29)))*Setup!$C$11:$C$22))))</f>
        <v/>
      </c>
      <c r="G29" s="27">
        <f>IF(Reps!$A29="","",IF(ISNUMBER(G64),G64,IF(6&lt;MAX(1,N(Reps!$D29)),0,N(Reps!$C29)*Setup!$C$16/SUMPRODUCT((Setup!$A$11:$A$22&gt;=MAX(1,N(Reps!$D29)))*Setup!$C$11:$C$22))))</f>
        <v/>
      </c>
      <c r="H29" s="27">
        <f>IF(Reps!$A29="","",IF(ISNUMBER(H64),H64,IF(7&lt;MAX(1,N(Reps!$D29)),0,N(Reps!$C29)*Setup!$C$17/SUMPRODUCT((Setup!$A$11:$A$22&gt;=MAX(1,N(Reps!$D29)))*Setup!$C$11:$C$22))))</f>
        <v/>
      </c>
      <c r="I29" s="27">
        <f>IF(Reps!$A29="","",IF(ISNUMBER(I64),I64,IF(8&lt;MAX(1,N(Reps!$D29)),0,N(Reps!$C29)*Setup!$C$18/SUMPRODUCT((Setup!$A$11:$A$22&gt;=MAX(1,N(Reps!$D29)))*Setup!$C$11:$C$22))))</f>
        <v/>
      </c>
      <c r="J29" s="27">
        <f>IF(Reps!$A29="","",IF(ISNUMBER(J64),J64,IF(9&lt;MAX(1,N(Reps!$D29)),0,N(Reps!$C29)*Setup!$C$19/SUMPRODUCT((Setup!$A$11:$A$22&gt;=MAX(1,N(Reps!$D29)))*Setup!$C$11:$C$22))))</f>
        <v/>
      </c>
      <c r="K29" s="27">
        <f>IF(Reps!$A29="","",IF(ISNUMBER(K64),K64,IF(10&lt;MAX(1,N(Reps!$D29)),0,N(Reps!$C29)*Setup!$C$20/SUMPRODUCT((Setup!$A$11:$A$22&gt;=MAX(1,N(Reps!$D29)))*Setup!$C$11:$C$22))))</f>
        <v/>
      </c>
      <c r="L29" s="27">
        <f>IF(Reps!$A29="","",IF(ISNUMBER(L64),L64,IF(11&lt;MAX(1,N(Reps!$D29)),0,N(Reps!$C29)*Setup!$C$21/SUMPRODUCT((Setup!$A$11:$A$22&gt;=MAX(1,N(Reps!$D29)))*Setup!$C$11:$C$22))))</f>
        <v/>
      </c>
      <c r="M29" s="27">
        <f>IF(Reps!$A29="","",IF(ISNUMBER(M64),M64,IF(12&lt;MAX(1,N(Reps!$D29)),0,N(Reps!$C29)*Setup!$C$22/SUMPRODUCT((Setup!$A$11:$A$22&gt;=MAX(1,N(Reps!$D29)))*Setup!$C$11:$C$22))))</f>
        <v/>
      </c>
      <c r="N29" s="25">
        <f>IF($A29="","",SUM(B29:M29))</f>
        <v/>
      </c>
    </row>
    <row r="30" ht="21" customHeight="1">
      <c r="A30" s="15">
        <f>IF(Reps!$A30="","",Reps!$A30)</f>
        <v/>
      </c>
      <c r="B30" s="27">
        <f>IF(Reps!$A30="","",IF(ISNUMBER(B65),B65,IF(1&lt;MAX(1,N(Reps!$D30)),0,N(Reps!$C30)*Setup!$C$11/SUMPRODUCT((Setup!$A$11:$A$22&gt;=MAX(1,N(Reps!$D30)))*Setup!$C$11:$C$22))))</f>
        <v/>
      </c>
      <c r="C30" s="27">
        <f>IF(Reps!$A30="","",IF(ISNUMBER(C65),C65,IF(2&lt;MAX(1,N(Reps!$D30)),0,N(Reps!$C30)*Setup!$C$12/SUMPRODUCT((Setup!$A$11:$A$22&gt;=MAX(1,N(Reps!$D30)))*Setup!$C$11:$C$22))))</f>
        <v/>
      </c>
      <c r="D30" s="27">
        <f>IF(Reps!$A30="","",IF(ISNUMBER(D65),D65,IF(3&lt;MAX(1,N(Reps!$D30)),0,N(Reps!$C30)*Setup!$C$13/SUMPRODUCT((Setup!$A$11:$A$22&gt;=MAX(1,N(Reps!$D30)))*Setup!$C$11:$C$22))))</f>
        <v/>
      </c>
      <c r="E30" s="27">
        <f>IF(Reps!$A30="","",IF(ISNUMBER(E65),E65,IF(4&lt;MAX(1,N(Reps!$D30)),0,N(Reps!$C30)*Setup!$C$14/SUMPRODUCT((Setup!$A$11:$A$22&gt;=MAX(1,N(Reps!$D30)))*Setup!$C$11:$C$22))))</f>
        <v/>
      </c>
      <c r="F30" s="27">
        <f>IF(Reps!$A30="","",IF(ISNUMBER(F65),F65,IF(5&lt;MAX(1,N(Reps!$D30)),0,N(Reps!$C30)*Setup!$C$15/SUMPRODUCT((Setup!$A$11:$A$22&gt;=MAX(1,N(Reps!$D30)))*Setup!$C$11:$C$22))))</f>
        <v/>
      </c>
      <c r="G30" s="27">
        <f>IF(Reps!$A30="","",IF(ISNUMBER(G65),G65,IF(6&lt;MAX(1,N(Reps!$D30)),0,N(Reps!$C30)*Setup!$C$16/SUMPRODUCT((Setup!$A$11:$A$22&gt;=MAX(1,N(Reps!$D30)))*Setup!$C$11:$C$22))))</f>
        <v/>
      </c>
      <c r="H30" s="27">
        <f>IF(Reps!$A30="","",IF(ISNUMBER(H65),H65,IF(7&lt;MAX(1,N(Reps!$D30)),0,N(Reps!$C30)*Setup!$C$17/SUMPRODUCT((Setup!$A$11:$A$22&gt;=MAX(1,N(Reps!$D30)))*Setup!$C$11:$C$22))))</f>
        <v/>
      </c>
      <c r="I30" s="27">
        <f>IF(Reps!$A30="","",IF(ISNUMBER(I65),I65,IF(8&lt;MAX(1,N(Reps!$D30)),0,N(Reps!$C30)*Setup!$C$18/SUMPRODUCT((Setup!$A$11:$A$22&gt;=MAX(1,N(Reps!$D30)))*Setup!$C$11:$C$22))))</f>
        <v/>
      </c>
      <c r="J30" s="27">
        <f>IF(Reps!$A30="","",IF(ISNUMBER(J65),J65,IF(9&lt;MAX(1,N(Reps!$D30)),0,N(Reps!$C30)*Setup!$C$19/SUMPRODUCT((Setup!$A$11:$A$22&gt;=MAX(1,N(Reps!$D30)))*Setup!$C$11:$C$22))))</f>
        <v/>
      </c>
      <c r="K30" s="27">
        <f>IF(Reps!$A30="","",IF(ISNUMBER(K65),K65,IF(10&lt;MAX(1,N(Reps!$D30)),0,N(Reps!$C30)*Setup!$C$20/SUMPRODUCT((Setup!$A$11:$A$22&gt;=MAX(1,N(Reps!$D30)))*Setup!$C$11:$C$22))))</f>
        <v/>
      </c>
      <c r="L30" s="27">
        <f>IF(Reps!$A30="","",IF(ISNUMBER(L65),L65,IF(11&lt;MAX(1,N(Reps!$D30)),0,N(Reps!$C30)*Setup!$C$21/SUMPRODUCT((Setup!$A$11:$A$22&gt;=MAX(1,N(Reps!$D30)))*Setup!$C$11:$C$22))))</f>
        <v/>
      </c>
      <c r="M30" s="27">
        <f>IF(Reps!$A30="","",IF(ISNUMBER(M65),M65,IF(12&lt;MAX(1,N(Reps!$D30)),0,N(Reps!$C30)*Setup!$C$22/SUMPRODUCT((Setup!$A$11:$A$22&gt;=MAX(1,N(Reps!$D30)))*Setup!$C$11:$C$22))))</f>
        <v/>
      </c>
      <c r="N30" s="25">
        <f>IF($A30="","",SUM(B30:M30))</f>
        <v/>
      </c>
    </row>
    <row r="31" ht="21" customHeight="1">
      <c r="A31" s="15">
        <f>IF(Reps!$A31="","",Reps!$A31)</f>
        <v/>
      </c>
      <c r="B31" s="27">
        <f>IF(Reps!$A31="","",IF(ISNUMBER(B66),B66,IF(1&lt;MAX(1,N(Reps!$D31)),0,N(Reps!$C31)*Setup!$C$11/SUMPRODUCT((Setup!$A$11:$A$22&gt;=MAX(1,N(Reps!$D31)))*Setup!$C$11:$C$22))))</f>
        <v/>
      </c>
      <c r="C31" s="27">
        <f>IF(Reps!$A31="","",IF(ISNUMBER(C66),C66,IF(2&lt;MAX(1,N(Reps!$D31)),0,N(Reps!$C31)*Setup!$C$12/SUMPRODUCT((Setup!$A$11:$A$22&gt;=MAX(1,N(Reps!$D31)))*Setup!$C$11:$C$22))))</f>
        <v/>
      </c>
      <c r="D31" s="27">
        <f>IF(Reps!$A31="","",IF(ISNUMBER(D66),D66,IF(3&lt;MAX(1,N(Reps!$D31)),0,N(Reps!$C31)*Setup!$C$13/SUMPRODUCT((Setup!$A$11:$A$22&gt;=MAX(1,N(Reps!$D31)))*Setup!$C$11:$C$22))))</f>
        <v/>
      </c>
      <c r="E31" s="27">
        <f>IF(Reps!$A31="","",IF(ISNUMBER(E66),E66,IF(4&lt;MAX(1,N(Reps!$D31)),0,N(Reps!$C31)*Setup!$C$14/SUMPRODUCT((Setup!$A$11:$A$22&gt;=MAX(1,N(Reps!$D31)))*Setup!$C$11:$C$22))))</f>
        <v/>
      </c>
      <c r="F31" s="27">
        <f>IF(Reps!$A31="","",IF(ISNUMBER(F66),F66,IF(5&lt;MAX(1,N(Reps!$D31)),0,N(Reps!$C31)*Setup!$C$15/SUMPRODUCT((Setup!$A$11:$A$22&gt;=MAX(1,N(Reps!$D31)))*Setup!$C$11:$C$22))))</f>
        <v/>
      </c>
      <c r="G31" s="27">
        <f>IF(Reps!$A31="","",IF(ISNUMBER(G66),G66,IF(6&lt;MAX(1,N(Reps!$D31)),0,N(Reps!$C31)*Setup!$C$16/SUMPRODUCT((Setup!$A$11:$A$22&gt;=MAX(1,N(Reps!$D31)))*Setup!$C$11:$C$22))))</f>
        <v/>
      </c>
      <c r="H31" s="27">
        <f>IF(Reps!$A31="","",IF(ISNUMBER(H66),H66,IF(7&lt;MAX(1,N(Reps!$D31)),0,N(Reps!$C31)*Setup!$C$17/SUMPRODUCT((Setup!$A$11:$A$22&gt;=MAX(1,N(Reps!$D31)))*Setup!$C$11:$C$22))))</f>
        <v/>
      </c>
      <c r="I31" s="27">
        <f>IF(Reps!$A31="","",IF(ISNUMBER(I66),I66,IF(8&lt;MAX(1,N(Reps!$D31)),0,N(Reps!$C31)*Setup!$C$18/SUMPRODUCT((Setup!$A$11:$A$22&gt;=MAX(1,N(Reps!$D31)))*Setup!$C$11:$C$22))))</f>
        <v/>
      </c>
      <c r="J31" s="27">
        <f>IF(Reps!$A31="","",IF(ISNUMBER(J66),J66,IF(9&lt;MAX(1,N(Reps!$D31)),0,N(Reps!$C31)*Setup!$C$19/SUMPRODUCT((Setup!$A$11:$A$22&gt;=MAX(1,N(Reps!$D31)))*Setup!$C$11:$C$22))))</f>
        <v/>
      </c>
      <c r="K31" s="27">
        <f>IF(Reps!$A31="","",IF(ISNUMBER(K66),K66,IF(10&lt;MAX(1,N(Reps!$D31)),0,N(Reps!$C31)*Setup!$C$20/SUMPRODUCT((Setup!$A$11:$A$22&gt;=MAX(1,N(Reps!$D31)))*Setup!$C$11:$C$22))))</f>
        <v/>
      </c>
      <c r="L31" s="27">
        <f>IF(Reps!$A31="","",IF(ISNUMBER(L66),L66,IF(11&lt;MAX(1,N(Reps!$D31)),0,N(Reps!$C31)*Setup!$C$21/SUMPRODUCT((Setup!$A$11:$A$22&gt;=MAX(1,N(Reps!$D31)))*Setup!$C$11:$C$22))))</f>
        <v/>
      </c>
      <c r="M31" s="27">
        <f>IF(Reps!$A31="","",IF(ISNUMBER(M66),M66,IF(12&lt;MAX(1,N(Reps!$D31)),0,N(Reps!$C31)*Setup!$C$22/SUMPRODUCT((Setup!$A$11:$A$22&gt;=MAX(1,N(Reps!$D31)))*Setup!$C$11:$C$22))))</f>
        <v/>
      </c>
      <c r="N31" s="25">
        <f>IF($A31="","",SUM(B31:M31))</f>
        <v/>
      </c>
    </row>
    <row r="32" ht="21" customHeight="1">
      <c r="A32" s="15">
        <f>IF(Reps!$A32="","",Reps!$A32)</f>
        <v/>
      </c>
      <c r="B32" s="27">
        <f>IF(Reps!$A32="","",IF(ISNUMBER(B67),B67,IF(1&lt;MAX(1,N(Reps!$D32)),0,N(Reps!$C32)*Setup!$C$11/SUMPRODUCT((Setup!$A$11:$A$22&gt;=MAX(1,N(Reps!$D32)))*Setup!$C$11:$C$22))))</f>
        <v/>
      </c>
      <c r="C32" s="27">
        <f>IF(Reps!$A32="","",IF(ISNUMBER(C67),C67,IF(2&lt;MAX(1,N(Reps!$D32)),0,N(Reps!$C32)*Setup!$C$12/SUMPRODUCT((Setup!$A$11:$A$22&gt;=MAX(1,N(Reps!$D32)))*Setup!$C$11:$C$22))))</f>
        <v/>
      </c>
      <c r="D32" s="27">
        <f>IF(Reps!$A32="","",IF(ISNUMBER(D67),D67,IF(3&lt;MAX(1,N(Reps!$D32)),0,N(Reps!$C32)*Setup!$C$13/SUMPRODUCT((Setup!$A$11:$A$22&gt;=MAX(1,N(Reps!$D32)))*Setup!$C$11:$C$22))))</f>
        <v/>
      </c>
      <c r="E32" s="27">
        <f>IF(Reps!$A32="","",IF(ISNUMBER(E67),E67,IF(4&lt;MAX(1,N(Reps!$D32)),0,N(Reps!$C32)*Setup!$C$14/SUMPRODUCT((Setup!$A$11:$A$22&gt;=MAX(1,N(Reps!$D32)))*Setup!$C$11:$C$22))))</f>
        <v/>
      </c>
      <c r="F32" s="27">
        <f>IF(Reps!$A32="","",IF(ISNUMBER(F67),F67,IF(5&lt;MAX(1,N(Reps!$D32)),0,N(Reps!$C32)*Setup!$C$15/SUMPRODUCT((Setup!$A$11:$A$22&gt;=MAX(1,N(Reps!$D32)))*Setup!$C$11:$C$22))))</f>
        <v/>
      </c>
      <c r="G32" s="27">
        <f>IF(Reps!$A32="","",IF(ISNUMBER(G67),G67,IF(6&lt;MAX(1,N(Reps!$D32)),0,N(Reps!$C32)*Setup!$C$16/SUMPRODUCT((Setup!$A$11:$A$22&gt;=MAX(1,N(Reps!$D32)))*Setup!$C$11:$C$22))))</f>
        <v/>
      </c>
      <c r="H32" s="27">
        <f>IF(Reps!$A32="","",IF(ISNUMBER(H67),H67,IF(7&lt;MAX(1,N(Reps!$D32)),0,N(Reps!$C32)*Setup!$C$17/SUMPRODUCT((Setup!$A$11:$A$22&gt;=MAX(1,N(Reps!$D32)))*Setup!$C$11:$C$22))))</f>
        <v/>
      </c>
      <c r="I32" s="27">
        <f>IF(Reps!$A32="","",IF(ISNUMBER(I67),I67,IF(8&lt;MAX(1,N(Reps!$D32)),0,N(Reps!$C32)*Setup!$C$18/SUMPRODUCT((Setup!$A$11:$A$22&gt;=MAX(1,N(Reps!$D32)))*Setup!$C$11:$C$22))))</f>
        <v/>
      </c>
      <c r="J32" s="27">
        <f>IF(Reps!$A32="","",IF(ISNUMBER(J67),J67,IF(9&lt;MAX(1,N(Reps!$D32)),0,N(Reps!$C32)*Setup!$C$19/SUMPRODUCT((Setup!$A$11:$A$22&gt;=MAX(1,N(Reps!$D32)))*Setup!$C$11:$C$22))))</f>
        <v/>
      </c>
      <c r="K32" s="27">
        <f>IF(Reps!$A32="","",IF(ISNUMBER(K67),K67,IF(10&lt;MAX(1,N(Reps!$D32)),0,N(Reps!$C32)*Setup!$C$20/SUMPRODUCT((Setup!$A$11:$A$22&gt;=MAX(1,N(Reps!$D32)))*Setup!$C$11:$C$22))))</f>
        <v/>
      </c>
      <c r="L32" s="27">
        <f>IF(Reps!$A32="","",IF(ISNUMBER(L67),L67,IF(11&lt;MAX(1,N(Reps!$D32)),0,N(Reps!$C32)*Setup!$C$21/SUMPRODUCT((Setup!$A$11:$A$22&gt;=MAX(1,N(Reps!$D32)))*Setup!$C$11:$C$22))))</f>
        <v/>
      </c>
      <c r="M32" s="27">
        <f>IF(Reps!$A32="","",IF(ISNUMBER(M67),M67,IF(12&lt;MAX(1,N(Reps!$D32)),0,N(Reps!$C32)*Setup!$C$22/SUMPRODUCT((Setup!$A$11:$A$22&gt;=MAX(1,N(Reps!$D32)))*Setup!$C$11:$C$22))))</f>
        <v/>
      </c>
      <c r="N32" s="25">
        <f>IF($A32="","",SUM(B32:M32))</f>
        <v/>
      </c>
    </row>
    <row r="33" ht="21" customHeight="1">
      <c r="A33" s="15">
        <f>IF(Reps!$A33="","",Reps!$A33)</f>
        <v/>
      </c>
      <c r="B33" s="27">
        <f>IF(Reps!$A33="","",IF(ISNUMBER(B68),B68,IF(1&lt;MAX(1,N(Reps!$D33)),0,N(Reps!$C33)*Setup!$C$11/SUMPRODUCT((Setup!$A$11:$A$22&gt;=MAX(1,N(Reps!$D33)))*Setup!$C$11:$C$22))))</f>
        <v/>
      </c>
      <c r="C33" s="27">
        <f>IF(Reps!$A33="","",IF(ISNUMBER(C68),C68,IF(2&lt;MAX(1,N(Reps!$D33)),0,N(Reps!$C33)*Setup!$C$12/SUMPRODUCT((Setup!$A$11:$A$22&gt;=MAX(1,N(Reps!$D33)))*Setup!$C$11:$C$22))))</f>
        <v/>
      </c>
      <c r="D33" s="27">
        <f>IF(Reps!$A33="","",IF(ISNUMBER(D68),D68,IF(3&lt;MAX(1,N(Reps!$D33)),0,N(Reps!$C33)*Setup!$C$13/SUMPRODUCT((Setup!$A$11:$A$22&gt;=MAX(1,N(Reps!$D33)))*Setup!$C$11:$C$22))))</f>
        <v/>
      </c>
      <c r="E33" s="27">
        <f>IF(Reps!$A33="","",IF(ISNUMBER(E68),E68,IF(4&lt;MAX(1,N(Reps!$D33)),0,N(Reps!$C33)*Setup!$C$14/SUMPRODUCT((Setup!$A$11:$A$22&gt;=MAX(1,N(Reps!$D33)))*Setup!$C$11:$C$22))))</f>
        <v/>
      </c>
      <c r="F33" s="27">
        <f>IF(Reps!$A33="","",IF(ISNUMBER(F68),F68,IF(5&lt;MAX(1,N(Reps!$D33)),0,N(Reps!$C33)*Setup!$C$15/SUMPRODUCT((Setup!$A$11:$A$22&gt;=MAX(1,N(Reps!$D33)))*Setup!$C$11:$C$22))))</f>
        <v/>
      </c>
      <c r="G33" s="27">
        <f>IF(Reps!$A33="","",IF(ISNUMBER(G68),G68,IF(6&lt;MAX(1,N(Reps!$D33)),0,N(Reps!$C33)*Setup!$C$16/SUMPRODUCT((Setup!$A$11:$A$22&gt;=MAX(1,N(Reps!$D33)))*Setup!$C$11:$C$22))))</f>
        <v/>
      </c>
      <c r="H33" s="27">
        <f>IF(Reps!$A33="","",IF(ISNUMBER(H68),H68,IF(7&lt;MAX(1,N(Reps!$D33)),0,N(Reps!$C33)*Setup!$C$17/SUMPRODUCT((Setup!$A$11:$A$22&gt;=MAX(1,N(Reps!$D33)))*Setup!$C$11:$C$22))))</f>
        <v/>
      </c>
      <c r="I33" s="27">
        <f>IF(Reps!$A33="","",IF(ISNUMBER(I68),I68,IF(8&lt;MAX(1,N(Reps!$D33)),0,N(Reps!$C33)*Setup!$C$18/SUMPRODUCT((Setup!$A$11:$A$22&gt;=MAX(1,N(Reps!$D33)))*Setup!$C$11:$C$22))))</f>
        <v/>
      </c>
      <c r="J33" s="27">
        <f>IF(Reps!$A33="","",IF(ISNUMBER(J68),J68,IF(9&lt;MAX(1,N(Reps!$D33)),0,N(Reps!$C33)*Setup!$C$19/SUMPRODUCT((Setup!$A$11:$A$22&gt;=MAX(1,N(Reps!$D33)))*Setup!$C$11:$C$22))))</f>
        <v/>
      </c>
      <c r="K33" s="27">
        <f>IF(Reps!$A33="","",IF(ISNUMBER(K68),K68,IF(10&lt;MAX(1,N(Reps!$D33)),0,N(Reps!$C33)*Setup!$C$20/SUMPRODUCT((Setup!$A$11:$A$22&gt;=MAX(1,N(Reps!$D33)))*Setup!$C$11:$C$22))))</f>
        <v/>
      </c>
      <c r="L33" s="27">
        <f>IF(Reps!$A33="","",IF(ISNUMBER(L68),L68,IF(11&lt;MAX(1,N(Reps!$D33)),0,N(Reps!$C33)*Setup!$C$21/SUMPRODUCT((Setup!$A$11:$A$22&gt;=MAX(1,N(Reps!$D33)))*Setup!$C$11:$C$22))))</f>
        <v/>
      </c>
      <c r="M33" s="27">
        <f>IF(Reps!$A33="","",IF(ISNUMBER(M68),M68,IF(12&lt;MAX(1,N(Reps!$D33)),0,N(Reps!$C33)*Setup!$C$22/SUMPRODUCT((Setup!$A$11:$A$22&gt;=MAX(1,N(Reps!$D33)))*Setup!$C$11:$C$22))))</f>
        <v/>
      </c>
      <c r="N33" s="25">
        <f>IF($A33="","",SUM(B33:M33))</f>
        <v/>
      </c>
    </row>
    <row r="34" ht="21" customHeight="1">
      <c r="A34" s="15">
        <f>IF(Reps!$A34="","",Reps!$A34)</f>
        <v/>
      </c>
      <c r="B34" s="27">
        <f>IF(Reps!$A34="","",IF(ISNUMBER(B69),B69,IF(1&lt;MAX(1,N(Reps!$D34)),0,N(Reps!$C34)*Setup!$C$11/SUMPRODUCT((Setup!$A$11:$A$22&gt;=MAX(1,N(Reps!$D34)))*Setup!$C$11:$C$22))))</f>
        <v/>
      </c>
      <c r="C34" s="27">
        <f>IF(Reps!$A34="","",IF(ISNUMBER(C69),C69,IF(2&lt;MAX(1,N(Reps!$D34)),0,N(Reps!$C34)*Setup!$C$12/SUMPRODUCT((Setup!$A$11:$A$22&gt;=MAX(1,N(Reps!$D34)))*Setup!$C$11:$C$22))))</f>
        <v/>
      </c>
      <c r="D34" s="27">
        <f>IF(Reps!$A34="","",IF(ISNUMBER(D69),D69,IF(3&lt;MAX(1,N(Reps!$D34)),0,N(Reps!$C34)*Setup!$C$13/SUMPRODUCT((Setup!$A$11:$A$22&gt;=MAX(1,N(Reps!$D34)))*Setup!$C$11:$C$22))))</f>
        <v/>
      </c>
      <c r="E34" s="27">
        <f>IF(Reps!$A34="","",IF(ISNUMBER(E69),E69,IF(4&lt;MAX(1,N(Reps!$D34)),0,N(Reps!$C34)*Setup!$C$14/SUMPRODUCT((Setup!$A$11:$A$22&gt;=MAX(1,N(Reps!$D34)))*Setup!$C$11:$C$22))))</f>
        <v/>
      </c>
      <c r="F34" s="27">
        <f>IF(Reps!$A34="","",IF(ISNUMBER(F69),F69,IF(5&lt;MAX(1,N(Reps!$D34)),0,N(Reps!$C34)*Setup!$C$15/SUMPRODUCT((Setup!$A$11:$A$22&gt;=MAX(1,N(Reps!$D34)))*Setup!$C$11:$C$22))))</f>
        <v/>
      </c>
      <c r="G34" s="27">
        <f>IF(Reps!$A34="","",IF(ISNUMBER(G69),G69,IF(6&lt;MAX(1,N(Reps!$D34)),0,N(Reps!$C34)*Setup!$C$16/SUMPRODUCT((Setup!$A$11:$A$22&gt;=MAX(1,N(Reps!$D34)))*Setup!$C$11:$C$22))))</f>
        <v/>
      </c>
      <c r="H34" s="27">
        <f>IF(Reps!$A34="","",IF(ISNUMBER(H69),H69,IF(7&lt;MAX(1,N(Reps!$D34)),0,N(Reps!$C34)*Setup!$C$17/SUMPRODUCT((Setup!$A$11:$A$22&gt;=MAX(1,N(Reps!$D34)))*Setup!$C$11:$C$22))))</f>
        <v/>
      </c>
      <c r="I34" s="27">
        <f>IF(Reps!$A34="","",IF(ISNUMBER(I69),I69,IF(8&lt;MAX(1,N(Reps!$D34)),0,N(Reps!$C34)*Setup!$C$18/SUMPRODUCT((Setup!$A$11:$A$22&gt;=MAX(1,N(Reps!$D34)))*Setup!$C$11:$C$22))))</f>
        <v/>
      </c>
      <c r="J34" s="27">
        <f>IF(Reps!$A34="","",IF(ISNUMBER(J69),J69,IF(9&lt;MAX(1,N(Reps!$D34)),0,N(Reps!$C34)*Setup!$C$19/SUMPRODUCT((Setup!$A$11:$A$22&gt;=MAX(1,N(Reps!$D34)))*Setup!$C$11:$C$22))))</f>
        <v/>
      </c>
      <c r="K34" s="27">
        <f>IF(Reps!$A34="","",IF(ISNUMBER(K69),K69,IF(10&lt;MAX(1,N(Reps!$D34)),0,N(Reps!$C34)*Setup!$C$20/SUMPRODUCT((Setup!$A$11:$A$22&gt;=MAX(1,N(Reps!$D34)))*Setup!$C$11:$C$22))))</f>
        <v/>
      </c>
      <c r="L34" s="27">
        <f>IF(Reps!$A34="","",IF(ISNUMBER(L69),L69,IF(11&lt;MAX(1,N(Reps!$D34)),0,N(Reps!$C34)*Setup!$C$21/SUMPRODUCT((Setup!$A$11:$A$22&gt;=MAX(1,N(Reps!$D34)))*Setup!$C$11:$C$22))))</f>
        <v/>
      </c>
      <c r="M34" s="27">
        <f>IF(Reps!$A34="","",IF(ISNUMBER(M69),M69,IF(12&lt;MAX(1,N(Reps!$D34)),0,N(Reps!$C34)*Setup!$C$22/SUMPRODUCT((Setup!$A$11:$A$22&gt;=MAX(1,N(Reps!$D34)))*Setup!$C$11:$C$22))))</f>
        <v/>
      </c>
      <c r="N34" s="25">
        <f>IF($A34="","",SUM(B34:M34))</f>
        <v/>
      </c>
    </row>
    <row r="35" ht="21" customHeight="1">
      <c r="A35" s="15">
        <f>IF(Reps!$A35="","",Reps!$A35)</f>
        <v/>
      </c>
      <c r="B35" s="27">
        <f>IF(Reps!$A35="","",IF(ISNUMBER(B70),B70,IF(1&lt;MAX(1,N(Reps!$D35)),0,N(Reps!$C35)*Setup!$C$11/SUMPRODUCT((Setup!$A$11:$A$22&gt;=MAX(1,N(Reps!$D35)))*Setup!$C$11:$C$22))))</f>
        <v/>
      </c>
      <c r="C35" s="27">
        <f>IF(Reps!$A35="","",IF(ISNUMBER(C70),C70,IF(2&lt;MAX(1,N(Reps!$D35)),0,N(Reps!$C35)*Setup!$C$12/SUMPRODUCT((Setup!$A$11:$A$22&gt;=MAX(1,N(Reps!$D35)))*Setup!$C$11:$C$22))))</f>
        <v/>
      </c>
      <c r="D35" s="27">
        <f>IF(Reps!$A35="","",IF(ISNUMBER(D70),D70,IF(3&lt;MAX(1,N(Reps!$D35)),0,N(Reps!$C35)*Setup!$C$13/SUMPRODUCT((Setup!$A$11:$A$22&gt;=MAX(1,N(Reps!$D35)))*Setup!$C$11:$C$22))))</f>
        <v/>
      </c>
      <c r="E35" s="27">
        <f>IF(Reps!$A35="","",IF(ISNUMBER(E70),E70,IF(4&lt;MAX(1,N(Reps!$D35)),0,N(Reps!$C35)*Setup!$C$14/SUMPRODUCT((Setup!$A$11:$A$22&gt;=MAX(1,N(Reps!$D35)))*Setup!$C$11:$C$22))))</f>
        <v/>
      </c>
      <c r="F35" s="27">
        <f>IF(Reps!$A35="","",IF(ISNUMBER(F70),F70,IF(5&lt;MAX(1,N(Reps!$D35)),0,N(Reps!$C35)*Setup!$C$15/SUMPRODUCT((Setup!$A$11:$A$22&gt;=MAX(1,N(Reps!$D35)))*Setup!$C$11:$C$22))))</f>
        <v/>
      </c>
      <c r="G35" s="27">
        <f>IF(Reps!$A35="","",IF(ISNUMBER(G70),G70,IF(6&lt;MAX(1,N(Reps!$D35)),0,N(Reps!$C35)*Setup!$C$16/SUMPRODUCT((Setup!$A$11:$A$22&gt;=MAX(1,N(Reps!$D35)))*Setup!$C$11:$C$22))))</f>
        <v/>
      </c>
      <c r="H35" s="27">
        <f>IF(Reps!$A35="","",IF(ISNUMBER(H70),H70,IF(7&lt;MAX(1,N(Reps!$D35)),0,N(Reps!$C35)*Setup!$C$17/SUMPRODUCT((Setup!$A$11:$A$22&gt;=MAX(1,N(Reps!$D35)))*Setup!$C$11:$C$22))))</f>
        <v/>
      </c>
      <c r="I35" s="27">
        <f>IF(Reps!$A35="","",IF(ISNUMBER(I70),I70,IF(8&lt;MAX(1,N(Reps!$D35)),0,N(Reps!$C35)*Setup!$C$18/SUMPRODUCT((Setup!$A$11:$A$22&gt;=MAX(1,N(Reps!$D35)))*Setup!$C$11:$C$22))))</f>
        <v/>
      </c>
      <c r="J35" s="27">
        <f>IF(Reps!$A35="","",IF(ISNUMBER(J70),J70,IF(9&lt;MAX(1,N(Reps!$D35)),0,N(Reps!$C35)*Setup!$C$19/SUMPRODUCT((Setup!$A$11:$A$22&gt;=MAX(1,N(Reps!$D35)))*Setup!$C$11:$C$22))))</f>
        <v/>
      </c>
      <c r="K35" s="27">
        <f>IF(Reps!$A35="","",IF(ISNUMBER(K70),K70,IF(10&lt;MAX(1,N(Reps!$D35)),0,N(Reps!$C35)*Setup!$C$20/SUMPRODUCT((Setup!$A$11:$A$22&gt;=MAX(1,N(Reps!$D35)))*Setup!$C$11:$C$22))))</f>
        <v/>
      </c>
      <c r="L35" s="27">
        <f>IF(Reps!$A35="","",IF(ISNUMBER(L70),L70,IF(11&lt;MAX(1,N(Reps!$D35)),0,N(Reps!$C35)*Setup!$C$21/SUMPRODUCT((Setup!$A$11:$A$22&gt;=MAX(1,N(Reps!$D35)))*Setup!$C$11:$C$22))))</f>
        <v/>
      </c>
      <c r="M35" s="27">
        <f>IF(Reps!$A35="","",IF(ISNUMBER(M70),M70,IF(12&lt;MAX(1,N(Reps!$D35)),0,N(Reps!$C35)*Setup!$C$22/SUMPRODUCT((Setup!$A$11:$A$22&gt;=MAX(1,N(Reps!$D35)))*Setup!$C$11:$C$22))))</f>
        <v/>
      </c>
      <c r="N35" s="25">
        <f>IF($A35="","",SUM(B35:M35))</f>
        <v/>
      </c>
    </row>
    <row r="36" ht="21" customHeight="1">
      <c r="A36" s="15">
        <f>IF(Reps!$A36="","",Reps!$A36)</f>
        <v/>
      </c>
      <c r="B36" s="27">
        <f>IF(Reps!$A36="","",IF(ISNUMBER(B71),B71,IF(1&lt;MAX(1,N(Reps!$D36)),0,N(Reps!$C36)*Setup!$C$11/SUMPRODUCT((Setup!$A$11:$A$22&gt;=MAX(1,N(Reps!$D36)))*Setup!$C$11:$C$22))))</f>
        <v/>
      </c>
      <c r="C36" s="27">
        <f>IF(Reps!$A36="","",IF(ISNUMBER(C71),C71,IF(2&lt;MAX(1,N(Reps!$D36)),0,N(Reps!$C36)*Setup!$C$12/SUMPRODUCT((Setup!$A$11:$A$22&gt;=MAX(1,N(Reps!$D36)))*Setup!$C$11:$C$22))))</f>
        <v/>
      </c>
      <c r="D36" s="27">
        <f>IF(Reps!$A36="","",IF(ISNUMBER(D71),D71,IF(3&lt;MAX(1,N(Reps!$D36)),0,N(Reps!$C36)*Setup!$C$13/SUMPRODUCT((Setup!$A$11:$A$22&gt;=MAX(1,N(Reps!$D36)))*Setup!$C$11:$C$22))))</f>
        <v/>
      </c>
      <c r="E36" s="27">
        <f>IF(Reps!$A36="","",IF(ISNUMBER(E71),E71,IF(4&lt;MAX(1,N(Reps!$D36)),0,N(Reps!$C36)*Setup!$C$14/SUMPRODUCT((Setup!$A$11:$A$22&gt;=MAX(1,N(Reps!$D36)))*Setup!$C$11:$C$22))))</f>
        <v/>
      </c>
      <c r="F36" s="27">
        <f>IF(Reps!$A36="","",IF(ISNUMBER(F71),F71,IF(5&lt;MAX(1,N(Reps!$D36)),0,N(Reps!$C36)*Setup!$C$15/SUMPRODUCT((Setup!$A$11:$A$22&gt;=MAX(1,N(Reps!$D36)))*Setup!$C$11:$C$22))))</f>
        <v/>
      </c>
      <c r="G36" s="27">
        <f>IF(Reps!$A36="","",IF(ISNUMBER(G71),G71,IF(6&lt;MAX(1,N(Reps!$D36)),0,N(Reps!$C36)*Setup!$C$16/SUMPRODUCT((Setup!$A$11:$A$22&gt;=MAX(1,N(Reps!$D36)))*Setup!$C$11:$C$22))))</f>
        <v/>
      </c>
      <c r="H36" s="27">
        <f>IF(Reps!$A36="","",IF(ISNUMBER(H71),H71,IF(7&lt;MAX(1,N(Reps!$D36)),0,N(Reps!$C36)*Setup!$C$17/SUMPRODUCT((Setup!$A$11:$A$22&gt;=MAX(1,N(Reps!$D36)))*Setup!$C$11:$C$22))))</f>
        <v/>
      </c>
      <c r="I36" s="27">
        <f>IF(Reps!$A36="","",IF(ISNUMBER(I71),I71,IF(8&lt;MAX(1,N(Reps!$D36)),0,N(Reps!$C36)*Setup!$C$18/SUMPRODUCT((Setup!$A$11:$A$22&gt;=MAX(1,N(Reps!$D36)))*Setup!$C$11:$C$22))))</f>
        <v/>
      </c>
      <c r="J36" s="27">
        <f>IF(Reps!$A36="","",IF(ISNUMBER(J71),J71,IF(9&lt;MAX(1,N(Reps!$D36)),0,N(Reps!$C36)*Setup!$C$19/SUMPRODUCT((Setup!$A$11:$A$22&gt;=MAX(1,N(Reps!$D36)))*Setup!$C$11:$C$22))))</f>
        <v/>
      </c>
      <c r="K36" s="27">
        <f>IF(Reps!$A36="","",IF(ISNUMBER(K71),K71,IF(10&lt;MAX(1,N(Reps!$D36)),0,N(Reps!$C36)*Setup!$C$20/SUMPRODUCT((Setup!$A$11:$A$22&gt;=MAX(1,N(Reps!$D36)))*Setup!$C$11:$C$22))))</f>
        <v/>
      </c>
      <c r="L36" s="27">
        <f>IF(Reps!$A36="","",IF(ISNUMBER(L71),L71,IF(11&lt;MAX(1,N(Reps!$D36)),0,N(Reps!$C36)*Setup!$C$21/SUMPRODUCT((Setup!$A$11:$A$22&gt;=MAX(1,N(Reps!$D36)))*Setup!$C$11:$C$22))))</f>
        <v/>
      </c>
      <c r="M36" s="27">
        <f>IF(Reps!$A36="","",IF(ISNUMBER(M71),M71,IF(12&lt;MAX(1,N(Reps!$D36)),0,N(Reps!$C36)*Setup!$C$22/SUMPRODUCT((Setup!$A$11:$A$22&gt;=MAX(1,N(Reps!$D36)))*Setup!$C$11:$C$22))))</f>
        <v/>
      </c>
      <c r="N36" s="25">
        <f>IF($A36="","",SUM(B36:M36))</f>
        <v/>
      </c>
    </row>
    <row r="39" ht="26" customHeight="1">
      <c r="A39" s="7" t="inlineStr">
        <is>
          <t>Changes: type a month’s quota here only to replace the one above</t>
        </is>
      </c>
    </row>
    <row r="40" ht="48" customHeight="1">
      <c r="A40" s="17" t="inlineStr">
        <is>
          <t>Rep</t>
        </is>
      </c>
      <c r="B40" s="17">
        <f>Setup!$B$11</f>
        <v/>
      </c>
      <c r="C40" s="17">
        <f>Setup!$B$12</f>
        <v/>
      </c>
      <c r="D40" s="17">
        <f>Setup!$B$13</f>
        <v/>
      </c>
      <c r="E40" s="17">
        <f>Setup!$B$14</f>
        <v/>
      </c>
      <c r="F40" s="17">
        <f>Setup!$B$15</f>
        <v/>
      </c>
      <c r="G40" s="17">
        <f>Setup!$B$16</f>
        <v/>
      </c>
      <c r="H40" s="17">
        <f>Setup!$B$17</f>
        <v/>
      </c>
      <c r="I40" s="17">
        <f>Setup!$B$18</f>
        <v/>
      </c>
      <c r="J40" s="17">
        <f>Setup!$B$19</f>
        <v/>
      </c>
      <c r="K40" s="17">
        <f>Setup!$B$20</f>
        <v/>
      </c>
      <c r="L40" s="17">
        <f>Setup!$B$21</f>
        <v/>
      </c>
      <c r="M40" s="17">
        <f>Setup!$B$22</f>
        <v/>
      </c>
      <c r="N40" s="17" t="inlineStr"/>
    </row>
    <row r="42" ht="21" customHeight="1">
      <c r="A42" s="15">
        <f>IF(Reps!$A7="","",Reps!$A7)</f>
        <v/>
      </c>
      <c r="B42" s="24" t="n"/>
      <c r="C42" s="24" t="n"/>
      <c r="D42" s="24" t="n"/>
      <c r="E42" s="24" t="n"/>
      <c r="F42" s="24" t="n"/>
      <c r="G42" s="24" t="n"/>
      <c r="H42" s="24" t="n"/>
      <c r="I42" s="24" t="n"/>
      <c r="J42" s="24" t="n"/>
      <c r="K42" s="24" t="n"/>
      <c r="L42" s="24" t="n"/>
      <c r="M42" s="24" t="n"/>
    </row>
    <row r="43" ht="21" customHeight="1">
      <c r="A43" s="15">
        <f>IF(Reps!$A8="","",Reps!$A8)</f>
        <v/>
      </c>
      <c r="B43" s="24" t="n"/>
      <c r="C43" s="24" t="n"/>
      <c r="D43" s="24" t="n"/>
      <c r="E43" s="24" t="n"/>
      <c r="F43" s="24" t="n"/>
      <c r="G43" s="24" t="n"/>
      <c r="H43" s="24" t="n"/>
      <c r="I43" s="24" t="n"/>
      <c r="J43" s="24" t="n"/>
      <c r="K43" s="24" t="n"/>
      <c r="L43" s="24" t="n"/>
      <c r="M43" s="24" t="n"/>
    </row>
    <row r="44" ht="21" customHeight="1">
      <c r="A44" s="15">
        <f>IF(Reps!$A9="","",Reps!$A9)</f>
        <v/>
      </c>
      <c r="B44" s="24" t="n"/>
      <c r="C44" s="24" t="n"/>
      <c r="D44" s="24" t="n"/>
      <c r="E44" s="24" t="n"/>
      <c r="F44" s="24" t="n"/>
      <c r="G44" s="24" t="n"/>
      <c r="H44" s="24" t="n"/>
      <c r="I44" s="24" t="n"/>
      <c r="J44" s="24" t="n"/>
      <c r="K44" s="24" t="n"/>
      <c r="L44" s="24" t="n"/>
      <c r="M44" s="24" t="n"/>
    </row>
    <row r="45" ht="21" customHeight="1">
      <c r="A45" s="15">
        <f>IF(Reps!$A10="","",Reps!$A10)</f>
        <v/>
      </c>
      <c r="B45" s="24" t="n"/>
      <c r="C45" s="24" t="n"/>
      <c r="D45" s="24" t="n"/>
      <c r="E45" s="24" t="n"/>
      <c r="F45" s="24" t="n"/>
      <c r="G45" s="24" t="n"/>
      <c r="H45" s="24" t="n"/>
      <c r="I45" s="24" t="n"/>
      <c r="J45" s="24" t="n"/>
      <c r="K45" s="24" t="n"/>
      <c r="L45" s="24" t="n"/>
      <c r="M45" s="24" t="n"/>
    </row>
    <row r="46" ht="21" customHeight="1">
      <c r="A46" s="15">
        <f>IF(Reps!$A11="","",Reps!$A11)</f>
        <v/>
      </c>
      <c r="B46" s="24" t="n"/>
      <c r="C46" s="24" t="n"/>
      <c r="D46" s="24" t="n"/>
      <c r="E46" s="24" t="n"/>
      <c r="F46" s="24" t="n"/>
      <c r="G46" s="24" t="n"/>
      <c r="H46" s="24" t="n"/>
      <c r="I46" s="24" t="n"/>
      <c r="J46" s="24" t="n"/>
      <c r="K46" s="24" t="n"/>
      <c r="L46" s="24" t="n"/>
      <c r="M46" s="24" t="n"/>
    </row>
    <row r="47" ht="21" customHeight="1">
      <c r="A47" s="15">
        <f>IF(Reps!$A12="","",Reps!$A12)</f>
        <v/>
      </c>
      <c r="B47" s="24" t="n"/>
      <c r="C47" s="24" t="n"/>
      <c r="D47" s="24" t="n"/>
      <c r="E47" s="24" t="n"/>
      <c r="F47" s="24" t="n"/>
      <c r="G47" s="24" t="n"/>
      <c r="H47" s="24" t="n"/>
      <c r="I47" s="24" t="n"/>
      <c r="J47" s="24" t="n"/>
      <c r="K47" s="24" t="n"/>
      <c r="L47" s="24" t="n"/>
      <c r="M47" s="24" t="n"/>
    </row>
    <row r="48" ht="21" customHeight="1">
      <c r="A48" s="15">
        <f>IF(Reps!$A13="","",Reps!$A13)</f>
        <v/>
      </c>
      <c r="B48" s="24" t="n"/>
      <c r="C48" s="24" t="n"/>
      <c r="D48" s="24" t="n"/>
      <c r="E48" s="24" t="n"/>
      <c r="F48" s="24" t="n"/>
      <c r="G48" s="24" t="n"/>
      <c r="H48" s="24" t="n"/>
      <c r="I48" s="24" t="n"/>
      <c r="J48" s="24" t="n"/>
      <c r="K48" s="24" t="n"/>
      <c r="L48" s="24" t="n"/>
      <c r="M48" s="24" t="n"/>
    </row>
    <row r="49" ht="21" customHeight="1">
      <c r="A49" s="15">
        <f>IF(Reps!$A14="","",Reps!$A14)</f>
        <v/>
      </c>
      <c r="B49" s="24" t="n"/>
      <c r="C49" s="24" t="n"/>
      <c r="D49" s="24" t="n"/>
      <c r="E49" s="24" t="n"/>
      <c r="F49" s="24" t="n"/>
      <c r="G49" s="24" t="n"/>
      <c r="H49" s="24" t="n"/>
      <c r="I49" s="24" t="n"/>
      <c r="J49" s="24" t="n"/>
      <c r="K49" s="24" t="n"/>
      <c r="L49" s="24" t="n"/>
      <c r="M49" s="24" t="n"/>
    </row>
    <row r="50" ht="21" customHeight="1">
      <c r="A50" s="15">
        <f>IF(Reps!$A15="","",Reps!$A15)</f>
        <v/>
      </c>
      <c r="B50" s="24" t="n"/>
      <c r="C50" s="24" t="n"/>
      <c r="D50" s="24" t="n"/>
      <c r="E50" s="24" t="n"/>
      <c r="F50" s="24" t="n"/>
      <c r="G50" s="24" t="n"/>
      <c r="H50" s="24" t="n"/>
      <c r="I50" s="24" t="n"/>
      <c r="J50" s="24" t="n"/>
      <c r="K50" s="24" t="n"/>
      <c r="L50" s="24" t="n"/>
      <c r="M50" s="24" t="n"/>
    </row>
    <row r="51" ht="21" customHeight="1">
      <c r="A51" s="15">
        <f>IF(Reps!$A16="","",Reps!$A16)</f>
        <v/>
      </c>
      <c r="B51" s="24" t="n"/>
      <c r="C51" s="24" t="n"/>
      <c r="D51" s="24" t="n"/>
      <c r="E51" s="24" t="n"/>
      <c r="F51" s="24" t="n"/>
      <c r="G51" s="24" t="n"/>
      <c r="H51" s="24" t="n"/>
      <c r="I51" s="24" t="n"/>
      <c r="J51" s="24" t="n"/>
      <c r="K51" s="24" t="n"/>
      <c r="L51" s="24" t="n"/>
      <c r="M51" s="24" t="n"/>
    </row>
    <row r="52" ht="21" customHeight="1">
      <c r="A52" s="15">
        <f>IF(Reps!$A17="","",Reps!$A17)</f>
        <v/>
      </c>
      <c r="B52" s="24" t="n"/>
      <c r="C52" s="24" t="n"/>
      <c r="D52" s="24" t="n"/>
      <c r="E52" s="24" t="n"/>
      <c r="F52" s="24" t="n"/>
      <c r="G52" s="24" t="n"/>
      <c r="H52" s="24" t="n"/>
      <c r="I52" s="24" t="n"/>
      <c r="J52" s="24" t="n"/>
      <c r="K52" s="24" t="n"/>
      <c r="L52" s="24" t="n"/>
      <c r="M52" s="24" t="n"/>
    </row>
    <row r="53" ht="21" customHeight="1">
      <c r="A53" s="15">
        <f>IF(Reps!$A18="","",Reps!$A18)</f>
        <v/>
      </c>
      <c r="B53" s="24" t="n"/>
      <c r="C53" s="24" t="n"/>
      <c r="D53" s="24" t="n"/>
      <c r="E53" s="24" t="n"/>
      <c r="F53" s="24" t="n"/>
      <c r="G53" s="24" t="n"/>
      <c r="H53" s="24" t="n"/>
      <c r="I53" s="24" t="n"/>
      <c r="J53" s="24" t="n"/>
      <c r="K53" s="24" t="n"/>
      <c r="L53" s="24" t="n"/>
      <c r="M53" s="24" t="n"/>
    </row>
    <row r="54" ht="21" customHeight="1">
      <c r="A54" s="15">
        <f>IF(Reps!$A19="","",Reps!$A19)</f>
        <v/>
      </c>
      <c r="B54" s="24" t="n"/>
      <c r="C54" s="24" t="n"/>
      <c r="D54" s="24" t="n"/>
      <c r="E54" s="24" t="n"/>
      <c r="F54" s="24" t="n"/>
      <c r="G54" s="24" t="n"/>
      <c r="H54" s="24" t="n"/>
      <c r="I54" s="24" t="n"/>
      <c r="J54" s="24" t="n"/>
      <c r="K54" s="24" t="n"/>
      <c r="L54" s="24" t="n"/>
      <c r="M54" s="24" t="n"/>
    </row>
    <row r="55" ht="21" customHeight="1">
      <c r="A55" s="15">
        <f>IF(Reps!$A20="","",Reps!$A20)</f>
        <v/>
      </c>
      <c r="B55" s="24" t="n"/>
      <c r="C55" s="24" t="n"/>
      <c r="D55" s="24" t="n"/>
      <c r="E55" s="24" t="n"/>
      <c r="F55" s="24" t="n"/>
      <c r="G55" s="24" t="n"/>
      <c r="H55" s="24" t="n"/>
      <c r="I55" s="24" t="n"/>
      <c r="J55" s="24" t="n"/>
      <c r="K55" s="24" t="n"/>
      <c r="L55" s="24" t="n"/>
      <c r="M55" s="24" t="n"/>
    </row>
    <row r="56" ht="21" customHeight="1">
      <c r="A56" s="15">
        <f>IF(Reps!$A21="","",Reps!$A21)</f>
        <v/>
      </c>
      <c r="B56" s="24" t="n"/>
      <c r="C56" s="24" t="n"/>
      <c r="D56" s="24" t="n"/>
      <c r="E56" s="24" t="n"/>
      <c r="F56" s="24" t="n"/>
      <c r="G56" s="24" t="n"/>
      <c r="H56" s="24" t="n"/>
      <c r="I56" s="24" t="n"/>
      <c r="J56" s="24" t="n"/>
      <c r="K56" s="24" t="n"/>
      <c r="L56" s="24" t="n"/>
      <c r="M56" s="24" t="n"/>
    </row>
    <row r="57" ht="21" customHeight="1">
      <c r="A57" s="15">
        <f>IF(Reps!$A22="","",Reps!$A22)</f>
        <v/>
      </c>
      <c r="B57" s="24" t="n"/>
      <c r="C57" s="24" t="n"/>
      <c r="D57" s="24" t="n"/>
      <c r="E57" s="24" t="n"/>
      <c r="F57" s="24" t="n"/>
      <c r="G57" s="24" t="n"/>
      <c r="H57" s="24" t="n"/>
      <c r="I57" s="24" t="n"/>
      <c r="J57" s="24" t="n"/>
      <c r="K57" s="24" t="n"/>
      <c r="L57" s="24" t="n"/>
      <c r="M57" s="24" t="n"/>
    </row>
    <row r="58" ht="21" customHeight="1">
      <c r="A58" s="15">
        <f>IF(Reps!$A23="","",Reps!$A23)</f>
        <v/>
      </c>
      <c r="B58" s="24" t="n"/>
      <c r="C58" s="24" t="n"/>
      <c r="D58" s="24" t="n"/>
      <c r="E58" s="24" t="n"/>
      <c r="F58" s="24" t="n"/>
      <c r="G58" s="24" t="n"/>
      <c r="H58" s="24" t="n"/>
      <c r="I58" s="24" t="n"/>
      <c r="J58" s="24" t="n"/>
      <c r="K58" s="24" t="n"/>
      <c r="L58" s="24" t="n"/>
      <c r="M58" s="24" t="n"/>
    </row>
    <row r="59" ht="21" customHeight="1">
      <c r="A59" s="15">
        <f>IF(Reps!$A24="","",Reps!$A24)</f>
        <v/>
      </c>
      <c r="B59" s="24" t="n"/>
      <c r="C59" s="24" t="n"/>
      <c r="D59" s="24" t="n"/>
      <c r="E59" s="24" t="n"/>
      <c r="F59" s="24" t="n"/>
      <c r="G59" s="24" t="n"/>
      <c r="H59" s="24" t="n"/>
      <c r="I59" s="24" t="n"/>
      <c r="J59" s="24" t="n"/>
      <c r="K59" s="24" t="n"/>
      <c r="L59" s="24" t="n"/>
      <c r="M59" s="24" t="n"/>
    </row>
    <row r="60" ht="21" customHeight="1">
      <c r="A60" s="15">
        <f>IF(Reps!$A25="","",Reps!$A25)</f>
        <v/>
      </c>
      <c r="B60" s="24" t="n"/>
      <c r="C60" s="24" t="n"/>
      <c r="D60" s="24" t="n"/>
      <c r="E60" s="24" t="n"/>
      <c r="F60" s="24" t="n"/>
      <c r="G60" s="24" t="n"/>
      <c r="H60" s="24" t="n"/>
      <c r="I60" s="24" t="n"/>
      <c r="J60" s="24" t="n"/>
      <c r="K60" s="24" t="n"/>
      <c r="L60" s="24" t="n"/>
      <c r="M60" s="24" t="n"/>
    </row>
    <row r="61" ht="21" customHeight="1">
      <c r="A61" s="15">
        <f>IF(Reps!$A26="","",Reps!$A26)</f>
        <v/>
      </c>
      <c r="B61" s="24" t="n"/>
      <c r="C61" s="24" t="n"/>
      <c r="D61" s="24" t="n"/>
      <c r="E61" s="24" t="n"/>
      <c r="F61" s="24" t="n"/>
      <c r="G61" s="24" t="n"/>
      <c r="H61" s="24" t="n"/>
      <c r="I61" s="24" t="n"/>
      <c r="J61" s="24" t="n"/>
      <c r="K61" s="24" t="n"/>
      <c r="L61" s="24" t="n"/>
      <c r="M61" s="24" t="n"/>
    </row>
    <row r="62" ht="21" customHeight="1">
      <c r="A62" s="15">
        <f>IF(Reps!$A27="","",Reps!$A27)</f>
        <v/>
      </c>
      <c r="B62" s="24" t="n"/>
      <c r="C62" s="24" t="n"/>
      <c r="D62" s="24" t="n"/>
      <c r="E62" s="24" t="n"/>
      <c r="F62" s="24" t="n"/>
      <c r="G62" s="24" t="n"/>
      <c r="H62" s="24" t="n"/>
      <c r="I62" s="24" t="n"/>
      <c r="J62" s="24" t="n"/>
      <c r="K62" s="24" t="n"/>
      <c r="L62" s="24" t="n"/>
      <c r="M62" s="24" t="n"/>
    </row>
    <row r="63" ht="21" customHeight="1">
      <c r="A63" s="15">
        <f>IF(Reps!$A28="","",Reps!$A28)</f>
        <v/>
      </c>
      <c r="B63" s="24" t="n"/>
      <c r="C63" s="24" t="n"/>
      <c r="D63" s="24" t="n"/>
      <c r="E63" s="24" t="n"/>
      <c r="F63" s="24" t="n"/>
      <c r="G63" s="24" t="n"/>
      <c r="H63" s="24" t="n"/>
      <c r="I63" s="24" t="n"/>
      <c r="J63" s="24" t="n"/>
      <c r="K63" s="24" t="n"/>
      <c r="L63" s="24" t="n"/>
      <c r="M63" s="24" t="n"/>
    </row>
    <row r="64" ht="21" customHeight="1">
      <c r="A64" s="15">
        <f>IF(Reps!$A29="","",Reps!$A29)</f>
        <v/>
      </c>
      <c r="B64" s="24" t="n"/>
      <c r="C64" s="24" t="n"/>
      <c r="D64" s="24" t="n"/>
      <c r="E64" s="24" t="n"/>
      <c r="F64" s="24" t="n"/>
      <c r="G64" s="24" t="n"/>
      <c r="H64" s="24" t="n"/>
      <c r="I64" s="24" t="n"/>
      <c r="J64" s="24" t="n"/>
      <c r="K64" s="24" t="n"/>
      <c r="L64" s="24" t="n"/>
      <c r="M64" s="24" t="n"/>
    </row>
    <row r="65" ht="21" customHeight="1">
      <c r="A65" s="15">
        <f>IF(Reps!$A30="","",Reps!$A30)</f>
        <v/>
      </c>
      <c r="B65" s="24" t="n"/>
      <c r="C65" s="24" t="n"/>
      <c r="D65" s="24" t="n"/>
      <c r="E65" s="24" t="n"/>
      <c r="F65" s="24" t="n"/>
      <c r="G65" s="24" t="n"/>
      <c r="H65" s="24" t="n"/>
      <c r="I65" s="24" t="n"/>
      <c r="J65" s="24" t="n"/>
      <c r="K65" s="24" t="n"/>
      <c r="L65" s="24" t="n"/>
      <c r="M65" s="24" t="n"/>
    </row>
    <row r="66" ht="21" customHeight="1">
      <c r="A66" s="15">
        <f>IF(Reps!$A31="","",Reps!$A31)</f>
        <v/>
      </c>
      <c r="B66" s="24" t="n"/>
      <c r="C66" s="24" t="n"/>
      <c r="D66" s="24" t="n"/>
      <c r="E66" s="24" t="n"/>
      <c r="F66" s="24" t="n"/>
      <c r="G66" s="24" t="n"/>
      <c r="H66" s="24" t="n"/>
      <c r="I66" s="24" t="n"/>
      <c r="J66" s="24" t="n"/>
      <c r="K66" s="24" t="n"/>
      <c r="L66" s="24" t="n"/>
      <c r="M66" s="24" t="n"/>
    </row>
    <row r="67" ht="21" customHeight="1">
      <c r="A67" s="15">
        <f>IF(Reps!$A32="","",Reps!$A32)</f>
        <v/>
      </c>
      <c r="B67" s="24" t="n"/>
      <c r="C67" s="24" t="n"/>
      <c r="D67" s="24" t="n"/>
      <c r="E67" s="24" t="n"/>
      <c r="F67" s="24" t="n"/>
      <c r="G67" s="24" t="n"/>
      <c r="H67" s="24" t="n"/>
      <c r="I67" s="24" t="n"/>
      <c r="J67" s="24" t="n"/>
      <c r="K67" s="24" t="n"/>
      <c r="L67" s="24" t="n"/>
      <c r="M67" s="24" t="n"/>
    </row>
    <row r="68" ht="21" customHeight="1">
      <c r="A68" s="15">
        <f>IF(Reps!$A33="","",Reps!$A33)</f>
        <v/>
      </c>
      <c r="B68" s="24" t="n"/>
      <c r="C68" s="24" t="n"/>
      <c r="D68" s="24" t="n"/>
      <c r="E68" s="24" t="n"/>
      <c r="F68" s="24" t="n"/>
      <c r="G68" s="24" t="n"/>
      <c r="H68" s="24" t="n"/>
      <c r="I68" s="24" t="n"/>
      <c r="J68" s="24" t="n"/>
      <c r="K68" s="24" t="n"/>
      <c r="L68" s="24" t="n"/>
      <c r="M68" s="24" t="n"/>
    </row>
    <row r="69" ht="21" customHeight="1">
      <c r="A69" s="15">
        <f>IF(Reps!$A34="","",Reps!$A34)</f>
        <v/>
      </c>
      <c r="B69" s="24" t="n"/>
      <c r="C69" s="24" t="n"/>
      <c r="D69" s="24" t="n"/>
      <c r="E69" s="24" t="n"/>
      <c r="F69" s="24" t="n"/>
      <c r="G69" s="24" t="n"/>
      <c r="H69" s="24" t="n"/>
      <c r="I69" s="24" t="n"/>
      <c r="J69" s="24" t="n"/>
      <c r="K69" s="24" t="n"/>
      <c r="L69" s="24" t="n"/>
      <c r="M69" s="24" t="n"/>
    </row>
    <row r="70" ht="21" customHeight="1">
      <c r="A70" s="15">
        <f>IF(Reps!$A35="","",Reps!$A35)</f>
        <v/>
      </c>
      <c r="B70" s="24" t="n"/>
      <c r="C70" s="24" t="n"/>
      <c r="D70" s="24" t="n"/>
      <c r="E70" s="24" t="n"/>
      <c r="F70" s="24" t="n"/>
      <c r="G70" s="24" t="n"/>
      <c r="H70" s="24" t="n"/>
      <c r="I70" s="24" t="n"/>
      <c r="J70" s="24" t="n"/>
      <c r="K70" s="24" t="n"/>
      <c r="L70" s="24" t="n"/>
      <c r="M70" s="24" t="n"/>
    </row>
    <row r="71" ht="21" customHeight="1">
      <c r="A71" s="15">
        <f>IF(Reps!$A36="","",Reps!$A36)</f>
        <v/>
      </c>
      <c r="B71" s="24" t="n"/>
      <c r="C71" s="24" t="n"/>
      <c r="D71" s="24" t="n"/>
      <c r="E71" s="24" t="n"/>
      <c r="F71" s="24" t="n"/>
      <c r="G71" s="24" t="n"/>
      <c r="H71" s="24" t="n"/>
      <c r="I71" s="24" t="n"/>
      <c r="J71" s="24" t="n"/>
      <c r="K71" s="24" t="n"/>
      <c r="L71" s="24" t="n"/>
      <c r="M71" s="24" t="n"/>
    </row>
  </sheetData>
  <mergeCells count="3">
    <mergeCell ref="A2:N2"/>
    <mergeCell ref="A39:N39"/>
    <mergeCell ref="A1:N1"/>
  </mergeCells>
  <pageMargins left="0.75" right="0.75" top="1" bottom="1" header="0.5" footer="0.5"/>
  <pageSetup orientation="landscape" fitToHeight="0" fitToWidth="1"/>
</worksheet>
</file>

<file path=xl/worksheets/sheet5.xml><?xml version="1.0" encoding="utf-8"?>
<worksheet xmlns="http://schemas.openxmlformats.org/spreadsheetml/2006/main">
  <sheetPr>
    <tabColor rgb="001F4E9A"/>
    <outlinePr summaryBelow="1" summaryRight="1"/>
    <pageSetUpPr fitToPage="1"/>
  </sheetPr>
  <dimension ref="A1:N3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15" customWidth="1" min="14" max="14"/>
  </cols>
  <sheetData>
    <row r="1" ht="36" customHeight="1">
      <c r="A1" s="1" t="inlineStr">
        <is>
          <t>Closed Sales: what each rep closed, month by month</t>
        </is>
      </c>
    </row>
    <row r="2" ht="46" customHeight="1">
      <c r="A2" s="2" t="inlineStr">
        <is>
          <t>Type each rep’s closed-won sales for every finished month, and what they have closed so far in the month you are in. Leave future months blank.</t>
        </is>
      </c>
    </row>
    <row r="3" ht="24" customHeight="1">
      <c r="A3" s="3" t="inlineStr">
        <is>
          <t>Color key:</t>
        </is>
      </c>
      <c r="B3" s="4" t="inlineStr">
        <is>
          <t>You type</t>
        </is>
      </c>
      <c r="C3" s="5" t="inlineStr">
        <is>
          <t>Calculated</t>
        </is>
      </c>
      <c r="D3" s="6" t="inlineStr">
        <is>
          <t>🔍 Insight</t>
        </is>
      </c>
    </row>
    <row r="5" ht="6" customHeight="1">
      <c r="B5" s="26" t="n">
        <v>1</v>
      </c>
      <c r="C5" s="26" t="n">
        <v>2</v>
      </c>
      <c r="D5" s="26" t="n">
        <v>3</v>
      </c>
      <c r="E5" s="26" t="n">
        <v>4</v>
      </c>
      <c r="F5" s="26" t="n">
        <v>5</v>
      </c>
      <c r="G5" s="26" t="n">
        <v>6</v>
      </c>
      <c r="H5" s="26" t="n">
        <v>7</v>
      </c>
      <c r="I5" s="26" t="n">
        <v>8</v>
      </c>
      <c r="J5" s="26" t="n">
        <v>9</v>
      </c>
      <c r="K5" s="26" t="n">
        <v>10</v>
      </c>
      <c r="L5" s="26" t="n">
        <v>11</v>
      </c>
      <c r="M5" s="26" t="n">
        <v>12</v>
      </c>
    </row>
    <row r="6" ht="48" customHeight="1">
      <c r="A6" s="17" t="inlineStr">
        <is>
          <t>Rep</t>
        </is>
      </c>
      <c r="B6" s="17">
        <f>Setup!$B$11</f>
        <v/>
      </c>
      <c r="C6" s="17">
        <f>Setup!$B$12</f>
        <v/>
      </c>
      <c r="D6" s="17">
        <f>Setup!$B$13</f>
        <v/>
      </c>
      <c r="E6" s="17">
        <f>Setup!$B$14</f>
        <v/>
      </c>
      <c r="F6" s="17">
        <f>Setup!$B$15</f>
        <v/>
      </c>
      <c r="G6" s="17">
        <f>Setup!$B$16</f>
        <v/>
      </c>
      <c r="H6" s="17">
        <f>Setup!$B$17</f>
        <v/>
      </c>
      <c r="I6" s="17">
        <f>Setup!$B$18</f>
        <v/>
      </c>
      <c r="J6" s="17">
        <f>Setup!$B$19</f>
        <v/>
      </c>
      <c r="K6" s="17">
        <f>Setup!$B$20</f>
        <v/>
      </c>
      <c r="L6" s="17">
        <f>Setup!$B$21</f>
        <v/>
      </c>
      <c r="M6" s="17">
        <f>Setup!$B$22</f>
        <v/>
      </c>
      <c r="N6" s="17" t="inlineStr">
        <is>
          <t>Year so far</t>
        </is>
      </c>
    </row>
    <row r="7" ht="21" customHeight="1">
      <c r="A7" s="15">
        <f>IF(Reps!$A7="","",Reps!$A7)</f>
        <v/>
      </c>
      <c r="B7" s="24" t="n">
        <v>38000</v>
      </c>
      <c r="C7" s="24" t="n">
        <v>42000</v>
      </c>
      <c r="D7" s="24" t="n">
        <v>62000</v>
      </c>
      <c r="E7" s="24" t="n">
        <v>47000</v>
      </c>
      <c r="F7" s="24" t="n">
        <v>59000</v>
      </c>
      <c r="G7" s="24" t="n">
        <v>21000</v>
      </c>
      <c r="H7" s="24" t="n"/>
      <c r="I7" s="24" t="n"/>
      <c r="J7" s="24" t="n"/>
      <c r="K7" s="24" t="n"/>
      <c r="L7" s="24" t="n"/>
      <c r="M7" s="24" t="n"/>
      <c r="N7" s="27">
        <f>IF($A7="","",SUM(B7:M7))</f>
        <v/>
      </c>
    </row>
    <row r="8" ht="21" customHeight="1">
      <c r="A8" s="15">
        <f>IF(Reps!$A8="","",Reps!$A8)</f>
        <v/>
      </c>
      <c r="B8" s="24" t="n">
        <v>18000</v>
      </c>
      <c r="C8" s="24" t="n">
        <v>26000</v>
      </c>
      <c r="D8" s="24" t="n">
        <v>24000</v>
      </c>
      <c r="E8" s="24" t="n">
        <v>30000</v>
      </c>
      <c r="F8" s="24" t="n">
        <v>25000</v>
      </c>
      <c r="G8" s="24" t="n">
        <v>11000</v>
      </c>
      <c r="H8" s="24" t="n"/>
      <c r="I8" s="24" t="n"/>
      <c r="J8" s="24" t="n"/>
      <c r="K8" s="24" t="n"/>
      <c r="L8" s="24" t="n"/>
      <c r="M8" s="24" t="n"/>
      <c r="N8" s="27">
        <f>IF($A8="","",SUM(B8:M8))</f>
        <v/>
      </c>
    </row>
    <row r="9" ht="21" customHeight="1">
      <c r="A9" s="15">
        <f>IF(Reps!$A9="","",Reps!$A9)</f>
        <v/>
      </c>
      <c r="B9" s="24" t="n">
        <v>47000</v>
      </c>
      <c r="C9" s="24" t="n">
        <v>67000</v>
      </c>
      <c r="D9" s="24" t="n">
        <v>57000</v>
      </c>
      <c r="E9" s="24" t="n">
        <v>60000</v>
      </c>
      <c r="F9" s="24" t="n">
        <v>73000</v>
      </c>
      <c r="G9" s="24" t="n">
        <v>43000</v>
      </c>
      <c r="H9" s="24" t="n"/>
      <c r="I9" s="24" t="n"/>
      <c r="J9" s="24" t="n"/>
      <c r="K9" s="24" t="n"/>
      <c r="L9" s="24" t="n"/>
      <c r="M9" s="24" t="n"/>
      <c r="N9" s="27">
        <f>IF($A9="","",SUM(B9:M9))</f>
        <v/>
      </c>
    </row>
    <row r="10" ht="21" customHeight="1">
      <c r="A10" s="15">
        <f>IF(Reps!$A10="","",Reps!$A10)</f>
        <v/>
      </c>
      <c r="B10" s="24" t="n">
        <v>40000</v>
      </c>
      <c r="C10" s="24" t="n">
        <v>44000</v>
      </c>
      <c r="D10" s="24" t="n">
        <v>66000</v>
      </c>
      <c r="E10" s="24" t="n">
        <v>43000</v>
      </c>
      <c r="F10" s="24" t="n">
        <v>63000</v>
      </c>
      <c r="G10" s="24" t="n">
        <v>18000</v>
      </c>
      <c r="H10" s="24" t="n"/>
      <c r="I10" s="24" t="n"/>
      <c r="J10" s="24" t="n"/>
      <c r="K10" s="24" t="n"/>
      <c r="L10" s="24" t="n"/>
      <c r="M10" s="24" t="n"/>
      <c r="N10" s="27">
        <f>IF($A10="","",SUM(B10:M10))</f>
        <v/>
      </c>
    </row>
    <row r="11" ht="21" customHeight="1">
      <c r="A11" s="15">
        <f>IF(Reps!$A11="","",Reps!$A11)</f>
        <v/>
      </c>
      <c r="B11" s="24" t="n">
        <v>35000</v>
      </c>
      <c r="C11" s="24" t="n">
        <v>41000</v>
      </c>
      <c r="D11" s="24" t="n">
        <v>53000</v>
      </c>
      <c r="E11" s="24" t="n">
        <v>66000</v>
      </c>
      <c r="F11" s="24" t="n">
        <v>50000</v>
      </c>
      <c r="G11" s="24" t="n">
        <v>26000</v>
      </c>
      <c r="H11" s="24" t="n"/>
      <c r="I11" s="24" t="n"/>
      <c r="J11" s="24" t="n"/>
      <c r="K11" s="24" t="n"/>
      <c r="L11" s="24" t="n"/>
      <c r="M11" s="24" t="n"/>
      <c r="N11" s="27">
        <f>IF($A11="","",SUM(B11:M11))</f>
        <v/>
      </c>
    </row>
    <row r="12" ht="21" customHeight="1">
      <c r="A12" s="15">
        <f>IF(Reps!$A12="","",Reps!$A12)</f>
        <v/>
      </c>
      <c r="B12" s="24" t="n">
        <v>35000</v>
      </c>
      <c r="C12" s="24" t="n">
        <v>38000</v>
      </c>
      <c r="D12" s="24" t="n">
        <v>47000</v>
      </c>
      <c r="E12" s="24" t="n">
        <v>38000</v>
      </c>
      <c r="F12" s="24" t="n">
        <v>38000</v>
      </c>
      <c r="G12" s="24" t="n">
        <v>13000</v>
      </c>
      <c r="H12" s="24" t="n"/>
      <c r="I12" s="24" t="n"/>
      <c r="J12" s="24" t="n"/>
      <c r="K12" s="24" t="n"/>
      <c r="L12" s="24" t="n"/>
      <c r="M12" s="24" t="n"/>
      <c r="N12" s="27">
        <f>IF($A12="","",SUM(B12:M12))</f>
        <v/>
      </c>
    </row>
    <row r="13" ht="21" customHeight="1">
      <c r="A13" s="15">
        <f>IF(Reps!$A13="","",Reps!$A13)</f>
        <v/>
      </c>
      <c r="B13" s="24" t="n">
        <v>47000</v>
      </c>
      <c r="C13" s="24" t="n">
        <v>51000</v>
      </c>
      <c r="D13" s="24" t="n">
        <v>56000</v>
      </c>
      <c r="E13" s="24" t="n">
        <v>63000</v>
      </c>
      <c r="F13" s="24" t="n">
        <v>60000</v>
      </c>
      <c r="G13" s="24" t="n">
        <v>23000</v>
      </c>
      <c r="H13" s="24" t="n"/>
      <c r="I13" s="24" t="n"/>
      <c r="J13" s="24" t="n"/>
      <c r="K13" s="24" t="n"/>
      <c r="L13" s="24" t="n"/>
      <c r="M13" s="24" t="n"/>
      <c r="N13" s="27">
        <f>IF($A13="","",SUM(B13:M13))</f>
        <v/>
      </c>
    </row>
    <row r="14" ht="21" customHeight="1">
      <c r="A14" s="15">
        <f>IF(Reps!$A14="","",Reps!$A14)</f>
        <v/>
      </c>
      <c r="B14" s="24" t="n">
        <v>43000</v>
      </c>
      <c r="C14" s="24" t="n">
        <v>49000</v>
      </c>
      <c r="D14" s="24" t="n">
        <v>47000</v>
      </c>
      <c r="E14" s="24" t="n">
        <v>55000</v>
      </c>
      <c r="F14" s="24" t="n">
        <v>53000</v>
      </c>
      <c r="G14" s="24" t="n">
        <v>36000</v>
      </c>
      <c r="H14" s="24" t="n"/>
      <c r="I14" s="24" t="n"/>
      <c r="J14" s="24" t="n"/>
      <c r="K14" s="24" t="n"/>
      <c r="L14" s="24" t="n"/>
      <c r="M14" s="24" t="n"/>
      <c r="N14" s="27">
        <f>IF($A14="","",SUM(B14:M14))</f>
        <v/>
      </c>
    </row>
    <row r="15" ht="21" customHeight="1">
      <c r="A15" s="15">
        <f>IF(Reps!$A15="","",Reps!$A15)</f>
        <v/>
      </c>
      <c r="B15" s="24" t="n">
        <v>25000</v>
      </c>
      <c r="C15" s="24" t="n">
        <v>25000</v>
      </c>
      <c r="D15" s="24" t="n">
        <v>39000</v>
      </c>
      <c r="E15" s="24" t="n">
        <v>27000</v>
      </c>
      <c r="F15" s="24" t="n">
        <v>31000</v>
      </c>
      <c r="G15" s="24" t="n">
        <v>14000</v>
      </c>
      <c r="H15" s="24" t="n"/>
      <c r="I15" s="24" t="n"/>
      <c r="J15" s="24" t="n"/>
      <c r="K15" s="24" t="n"/>
      <c r="L15" s="24" t="n"/>
      <c r="M15" s="24" t="n"/>
      <c r="N15" s="27">
        <f>IF($A15="","",SUM(B15:M15))</f>
        <v/>
      </c>
    </row>
    <row r="16" ht="21" customHeight="1">
      <c r="A16" s="15">
        <f>IF(Reps!$A16="","",Reps!$A16)</f>
        <v/>
      </c>
      <c r="B16" s="24" t="n">
        <v>16000</v>
      </c>
      <c r="C16" s="24" t="n">
        <v>22000</v>
      </c>
      <c r="D16" s="24" t="n">
        <v>20000</v>
      </c>
      <c r="E16" s="24" t="n">
        <v>28000</v>
      </c>
      <c r="F16" s="24" t="n">
        <v>29000</v>
      </c>
      <c r="G16" s="24" t="n">
        <v>13000</v>
      </c>
      <c r="H16" s="24" t="n"/>
      <c r="I16" s="24" t="n"/>
      <c r="J16" s="24" t="n"/>
      <c r="K16" s="24" t="n"/>
      <c r="L16" s="24" t="n"/>
      <c r="M16" s="24" t="n"/>
      <c r="N16" s="27">
        <f>IF($A16="","",SUM(B16:M16))</f>
        <v/>
      </c>
    </row>
    <row r="17" ht="21" customHeight="1">
      <c r="A17" s="15">
        <f>IF(Reps!$A17="","",Reps!$A17)</f>
        <v/>
      </c>
      <c r="B17" s="24" t="n">
        <v>14000</v>
      </c>
      <c r="C17" s="24" t="n">
        <v>13000</v>
      </c>
      <c r="D17" s="24" t="n">
        <v>18000</v>
      </c>
      <c r="E17" s="24" t="n">
        <v>17000</v>
      </c>
      <c r="F17" s="24" t="n">
        <v>17000</v>
      </c>
      <c r="G17" s="24" t="n">
        <v>9000</v>
      </c>
      <c r="H17" s="24" t="n"/>
      <c r="I17" s="24" t="n"/>
      <c r="J17" s="24" t="n"/>
      <c r="K17" s="24" t="n"/>
      <c r="L17" s="24" t="n"/>
      <c r="M17" s="24" t="n"/>
      <c r="N17" s="27">
        <f>IF($A17="","",SUM(B17:M17))</f>
        <v/>
      </c>
    </row>
    <row r="18" ht="21" customHeight="1">
      <c r="A18" s="15">
        <f>IF(Reps!$A18="","",Reps!$A18)</f>
        <v/>
      </c>
      <c r="B18" s="24" t="n">
        <v>29000</v>
      </c>
      <c r="C18" s="24" t="n">
        <v>37000</v>
      </c>
      <c r="D18" s="24" t="n">
        <v>35000</v>
      </c>
      <c r="E18" s="24" t="n">
        <v>38000</v>
      </c>
      <c r="F18" s="24" t="n">
        <v>29000</v>
      </c>
      <c r="G18" s="24" t="n">
        <v>17000</v>
      </c>
      <c r="H18" s="24" t="n"/>
      <c r="I18" s="24" t="n"/>
      <c r="J18" s="24" t="n"/>
      <c r="K18" s="24" t="n"/>
      <c r="L18" s="24" t="n"/>
      <c r="M18" s="24" t="n"/>
      <c r="N18" s="27">
        <f>IF($A18="","",SUM(B18:M18))</f>
        <v/>
      </c>
    </row>
    <row r="19" ht="21" customHeight="1">
      <c r="A19" s="15">
        <f>IF(Reps!$A19="","",Reps!$A19)</f>
        <v/>
      </c>
      <c r="B19" s="24" t="n"/>
      <c r="C19" s="24" t="n"/>
      <c r="D19" s="24" t="n"/>
      <c r="E19" s="24" t="n"/>
      <c r="F19" s="24" t="n"/>
      <c r="G19" s="24" t="n"/>
      <c r="H19" s="24" t="n"/>
      <c r="I19" s="24" t="n"/>
      <c r="J19" s="24" t="n"/>
      <c r="K19" s="24" t="n"/>
      <c r="L19" s="24" t="n"/>
      <c r="M19" s="24" t="n"/>
      <c r="N19" s="27">
        <f>IF($A19="","",SUM(B19:M19))</f>
        <v/>
      </c>
    </row>
    <row r="20" ht="21" customHeight="1">
      <c r="A20" s="15">
        <f>IF(Reps!$A20="","",Reps!$A20)</f>
        <v/>
      </c>
      <c r="B20" s="24" t="n"/>
      <c r="C20" s="24" t="n"/>
      <c r="D20" s="24" t="n"/>
      <c r="E20" s="24" t="n"/>
      <c r="F20" s="24" t="n"/>
      <c r="G20" s="24" t="n"/>
      <c r="H20" s="24" t="n"/>
      <c r="I20" s="24" t="n"/>
      <c r="J20" s="24" t="n"/>
      <c r="K20" s="24" t="n"/>
      <c r="L20" s="24" t="n"/>
      <c r="M20" s="24" t="n"/>
      <c r="N20" s="27">
        <f>IF($A20="","",SUM(B20:M20))</f>
        <v/>
      </c>
    </row>
    <row r="21" ht="21" customHeight="1">
      <c r="A21" s="15">
        <f>IF(Reps!$A21="","",Reps!$A21)</f>
        <v/>
      </c>
      <c r="B21" s="24" t="n"/>
      <c r="C21" s="24" t="n"/>
      <c r="D21" s="24" t="n"/>
      <c r="E21" s="24" t="n"/>
      <c r="F21" s="24" t="n"/>
      <c r="G21" s="24" t="n"/>
      <c r="H21" s="24" t="n"/>
      <c r="I21" s="24" t="n"/>
      <c r="J21" s="24" t="n"/>
      <c r="K21" s="24" t="n"/>
      <c r="L21" s="24" t="n"/>
      <c r="M21" s="24" t="n"/>
      <c r="N21" s="27">
        <f>IF($A21="","",SUM(B21:M21))</f>
        <v/>
      </c>
    </row>
    <row r="22" ht="21" customHeight="1">
      <c r="A22" s="15">
        <f>IF(Reps!$A22="","",Reps!$A22)</f>
        <v/>
      </c>
      <c r="B22" s="24" t="n"/>
      <c r="C22" s="24" t="n"/>
      <c r="D22" s="24" t="n"/>
      <c r="E22" s="24" t="n"/>
      <c r="F22" s="24" t="n"/>
      <c r="G22" s="24" t="n"/>
      <c r="H22" s="24" t="n"/>
      <c r="I22" s="24" t="n"/>
      <c r="J22" s="24" t="n"/>
      <c r="K22" s="24" t="n"/>
      <c r="L22" s="24" t="n"/>
      <c r="M22" s="24" t="n"/>
      <c r="N22" s="27">
        <f>IF($A22="","",SUM(B22:M22))</f>
        <v/>
      </c>
    </row>
    <row r="23" ht="21" customHeight="1">
      <c r="A23" s="15">
        <f>IF(Reps!$A23="","",Reps!$A23)</f>
        <v/>
      </c>
      <c r="B23" s="24" t="n"/>
      <c r="C23" s="24" t="n"/>
      <c r="D23" s="24" t="n"/>
      <c r="E23" s="24" t="n"/>
      <c r="F23" s="24" t="n"/>
      <c r="G23" s="24" t="n"/>
      <c r="H23" s="24" t="n"/>
      <c r="I23" s="24" t="n"/>
      <c r="J23" s="24" t="n"/>
      <c r="K23" s="24" t="n"/>
      <c r="L23" s="24" t="n"/>
      <c r="M23" s="24" t="n"/>
      <c r="N23" s="27">
        <f>IF($A23="","",SUM(B23:M23))</f>
        <v/>
      </c>
    </row>
    <row r="24" ht="21" customHeight="1">
      <c r="A24" s="15">
        <f>IF(Reps!$A24="","",Reps!$A24)</f>
        <v/>
      </c>
      <c r="B24" s="24" t="n"/>
      <c r="C24" s="24" t="n"/>
      <c r="D24" s="24" t="n"/>
      <c r="E24" s="24" t="n"/>
      <c r="F24" s="24" t="n"/>
      <c r="G24" s="24" t="n"/>
      <c r="H24" s="24" t="n"/>
      <c r="I24" s="24" t="n"/>
      <c r="J24" s="24" t="n"/>
      <c r="K24" s="24" t="n"/>
      <c r="L24" s="24" t="n"/>
      <c r="M24" s="24" t="n"/>
      <c r="N24" s="27">
        <f>IF($A24="","",SUM(B24:M24))</f>
        <v/>
      </c>
    </row>
    <row r="25" ht="21" customHeight="1">
      <c r="A25" s="15">
        <f>IF(Reps!$A25="","",Reps!$A25)</f>
        <v/>
      </c>
      <c r="B25" s="24" t="n"/>
      <c r="C25" s="24" t="n"/>
      <c r="D25" s="24" t="n"/>
      <c r="E25" s="24" t="n"/>
      <c r="F25" s="24" t="n"/>
      <c r="G25" s="24" t="n"/>
      <c r="H25" s="24" t="n"/>
      <c r="I25" s="24" t="n"/>
      <c r="J25" s="24" t="n"/>
      <c r="K25" s="24" t="n"/>
      <c r="L25" s="24" t="n"/>
      <c r="M25" s="24" t="n"/>
      <c r="N25" s="27">
        <f>IF($A25="","",SUM(B25:M25))</f>
        <v/>
      </c>
    </row>
    <row r="26" ht="21" customHeight="1">
      <c r="A26" s="15">
        <f>IF(Reps!$A26="","",Reps!$A26)</f>
        <v/>
      </c>
      <c r="B26" s="24" t="n"/>
      <c r="C26" s="24" t="n"/>
      <c r="D26" s="24" t="n"/>
      <c r="E26" s="24" t="n"/>
      <c r="F26" s="24" t="n"/>
      <c r="G26" s="24" t="n"/>
      <c r="H26" s="24" t="n"/>
      <c r="I26" s="24" t="n"/>
      <c r="J26" s="24" t="n"/>
      <c r="K26" s="24" t="n"/>
      <c r="L26" s="24" t="n"/>
      <c r="M26" s="24" t="n"/>
      <c r="N26" s="27">
        <f>IF($A26="","",SUM(B26:M26))</f>
        <v/>
      </c>
    </row>
    <row r="27" ht="21" customHeight="1">
      <c r="A27" s="15">
        <f>IF(Reps!$A27="","",Reps!$A27)</f>
        <v/>
      </c>
      <c r="B27" s="24" t="n"/>
      <c r="C27" s="24" t="n"/>
      <c r="D27" s="24" t="n"/>
      <c r="E27" s="24" t="n"/>
      <c r="F27" s="24" t="n"/>
      <c r="G27" s="24" t="n"/>
      <c r="H27" s="24" t="n"/>
      <c r="I27" s="24" t="n"/>
      <c r="J27" s="24" t="n"/>
      <c r="K27" s="24" t="n"/>
      <c r="L27" s="24" t="n"/>
      <c r="M27" s="24" t="n"/>
      <c r="N27" s="27">
        <f>IF($A27="","",SUM(B27:M27))</f>
        <v/>
      </c>
    </row>
    <row r="28" ht="21" customHeight="1">
      <c r="A28" s="15">
        <f>IF(Reps!$A28="","",Reps!$A28)</f>
        <v/>
      </c>
      <c r="B28" s="24" t="n"/>
      <c r="C28" s="24" t="n"/>
      <c r="D28" s="24" t="n"/>
      <c r="E28" s="24" t="n"/>
      <c r="F28" s="24" t="n"/>
      <c r="G28" s="24" t="n"/>
      <c r="H28" s="24" t="n"/>
      <c r="I28" s="24" t="n"/>
      <c r="J28" s="24" t="n"/>
      <c r="K28" s="24" t="n"/>
      <c r="L28" s="24" t="n"/>
      <c r="M28" s="24" t="n"/>
      <c r="N28" s="27">
        <f>IF($A28="","",SUM(B28:M28))</f>
        <v/>
      </c>
    </row>
    <row r="29" ht="21" customHeight="1">
      <c r="A29" s="15">
        <f>IF(Reps!$A29="","",Reps!$A29)</f>
        <v/>
      </c>
      <c r="B29" s="24" t="n"/>
      <c r="C29" s="24" t="n"/>
      <c r="D29" s="24" t="n"/>
      <c r="E29" s="24" t="n"/>
      <c r="F29" s="24" t="n"/>
      <c r="G29" s="24" t="n"/>
      <c r="H29" s="24" t="n"/>
      <c r="I29" s="24" t="n"/>
      <c r="J29" s="24" t="n"/>
      <c r="K29" s="24" t="n"/>
      <c r="L29" s="24" t="n"/>
      <c r="M29" s="24" t="n"/>
      <c r="N29" s="27">
        <f>IF($A29="","",SUM(B29:M29))</f>
        <v/>
      </c>
    </row>
    <row r="30" ht="21" customHeight="1">
      <c r="A30" s="15">
        <f>IF(Reps!$A30="","",Reps!$A30)</f>
        <v/>
      </c>
      <c r="B30" s="24" t="n"/>
      <c r="C30" s="24" t="n"/>
      <c r="D30" s="24" t="n"/>
      <c r="E30" s="24" t="n"/>
      <c r="F30" s="24" t="n"/>
      <c r="G30" s="24" t="n"/>
      <c r="H30" s="24" t="n"/>
      <c r="I30" s="24" t="n"/>
      <c r="J30" s="24" t="n"/>
      <c r="K30" s="24" t="n"/>
      <c r="L30" s="24" t="n"/>
      <c r="M30" s="24" t="n"/>
      <c r="N30" s="27">
        <f>IF($A30="","",SUM(B30:M30))</f>
        <v/>
      </c>
    </row>
    <row r="31" ht="21" customHeight="1">
      <c r="A31" s="15">
        <f>IF(Reps!$A31="","",Reps!$A31)</f>
        <v/>
      </c>
      <c r="B31" s="24" t="n"/>
      <c r="C31" s="24" t="n"/>
      <c r="D31" s="24" t="n"/>
      <c r="E31" s="24" t="n"/>
      <c r="F31" s="24" t="n"/>
      <c r="G31" s="24" t="n"/>
      <c r="H31" s="24" t="n"/>
      <c r="I31" s="24" t="n"/>
      <c r="J31" s="24" t="n"/>
      <c r="K31" s="24" t="n"/>
      <c r="L31" s="24" t="n"/>
      <c r="M31" s="24" t="n"/>
      <c r="N31" s="27">
        <f>IF($A31="","",SUM(B31:M31))</f>
        <v/>
      </c>
    </row>
    <row r="32" ht="21" customHeight="1">
      <c r="A32" s="15">
        <f>IF(Reps!$A32="","",Reps!$A32)</f>
        <v/>
      </c>
      <c r="B32" s="24" t="n"/>
      <c r="C32" s="24" t="n"/>
      <c r="D32" s="24" t="n"/>
      <c r="E32" s="24" t="n"/>
      <c r="F32" s="24" t="n"/>
      <c r="G32" s="24" t="n"/>
      <c r="H32" s="24" t="n"/>
      <c r="I32" s="24" t="n"/>
      <c r="J32" s="24" t="n"/>
      <c r="K32" s="24" t="n"/>
      <c r="L32" s="24" t="n"/>
      <c r="M32" s="24" t="n"/>
      <c r="N32" s="27">
        <f>IF($A32="","",SUM(B32:M32))</f>
        <v/>
      </c>
    </row>
    <row r="33" ht="21" customHeight="1">
      <c r="A33" s="15">
        <f>IF(Reps!$A33="","",Reps!$A33)</f>
        <v/>
      </c>
      <c r="B33" s="24" t="n"/>
      <c r="C33" s="24" t="n"/>
      <c r="D33" s="24" t="n"/>
      <c r="E33" s="24" t="n"/>
      <c r="F33" s="24" t="n"/>
      <c r="G33" s="24" t="n"/>
      <c r="H33" s="24" t="n"/>
      <c r="I33" s="24" t="n"/>
      <c r="J33" s="24" t="n"/>
      <c r="K33" s="24" t="n"/>
      <c r="L33" s="24" t="n"/>
      <c r="M33" s="24" t="n"/>
      <c r="N33" s="27">
        <f>IF($A33="","",SUM(B33:M33))</f>
        <v/>
      </c>
    </row>
    <row r="34" ht="21" customHeight="1">
      <c r="A34" s="15">
        <f>IF(Reps!$A34="","",Reps!$A34)</f>
        <v/>
      </c>
      <c r="B34" s="24" t="n"/>
      <c r="C34" s="24" t="n"/>
      <c r="D34" s="24" t="n"/>
      <c r="E34" s="24" t="n"/>
      <c r="F34" s="24" t="n"/>
      <c r="G34" s="24" t="n"/>
      <c r="H34" s="24" t="n"/>
      <c r="I34" s="24" t="n"/>
      <c r="J34" s="24" t="n"/>
      <c r="K34" s="24" t="n"/>
      <c r="L34" s="24" t="n"/>
      <c r="M34" s="24" t="n"/>
      <c r="N34" s="27">
        <f>IF($A34="","",SUM(B34:M34))</f>
        <v/>
      </c>
    </row>
    <row r="35" ht="21" customHeight="1">
      <c r="A35" s="15">
        <f>IF(Reps!$A35="","",Reps!$A35)</f>
        <v/>
      </c>
      <c r="B35" s="24" t="n"/>
      <c r="C35" s="24" t="n"/>
      <c r="D35" s="24" t="n"/>
      <c r="E35" s="24" t="n"/>
      <c r="F35" s="24" t="n"/>
      <c r="G35" s="24" t="n"/>
      <c r="H35" s="24" t="n"/>
      <c r="I35" s="24" t="n"/>
      <c r="J35" s="24" t="n"/>
      <c r="K35" s="24" t="n"/>
      <c r="L35" s="24" t="n"/>
      <c r="M35" s="24" t="n"/>
      <c r="N35" s="27">
        <f>IF($A35="","",SUM(B35:M35))</f>
        <v/>
      </c>
    </row>
    <row r="36" ht="21" customHeight="1">
      <c r="A36" s="15">
        <f>IF(Reps!$A36="","",Reps!$A36)</f>
        <v/>
      </c>
      <c r="B36" s="24" t="n"/>
      <c r="C36" s="24" t="n"/>
      <c r="D36" s="24" t="n"/>
      <c r="E36" s="24" t="n"/>
      <c r="F36" s="24" t="n"/>
      <c r="G36" s="24" t="n"/>
      <c r="H36" s="24" t="n"/>
      <c r="I36" s="24" t="n"/>
      <c r="J36" s="24" t="n"/>
      <c r="K36" s="24" t="n"/>
      <c r="L36" s="24" t="n"/>
      <c r="M36" s="24" t="n"/>
      <c r="N36" s="27">
        <f>IF($A36="","",SUM(B36:M36))</f>
        <v/>
      </c>
    </row>
  </sheetData>
  <mergeCells count="2">
    <mergeCell ref="A2:N2"/>
    <mergeCell ref="A1:N1"/>
  </mergeCells>
  <conditionalFormatting sqref="B7:M36">
    <cfRule type="expression" priority="1" dxfId="0">
      <formula>B$5&gt;Setup!$C$7</formula>
    </cfRule>
  </conditionalFormatting>
  <pageMargins left="0.75" right="0.75" top="1" bottom="1" header="0.5" footer="0.5"/>
  <pageSetup orientation="landscape" fitToHeight="0" fitToWidth="1"/>
</worksheet>
</file>

<file path=xl/worksheets/sheet6.xml><?xml version="1.0" encoding="utf-8"?>
<worksheet xmlns="http://schemas.openxmlformats.org/spreadsheetml/2006/main">
  <sheetPr>
    <tabColor rgb="001F4E9A"/>
    <outlinePr summaryBelow="1" summaryRight="1"/>
    <pageSetUpPr fitToPage="1"/>
  </sheetPr>
  <dimension ref="A1:E3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22" customWidth="1" min="2" max="2"/>
    <col width="22" customWidth="1" min="3" max="3"/>
    <col width="22" customWidth="1" min="4" max="4"/>
    <col width="34" customWidth="1" min="5" max="5"/>
  </cols>
  <sheetData>
    <row r="1" ht="36" customHeight="1">
      <c r="A1" s="1" t="inlineStr">
        <is>
          <t>Pipeline: what is still open and due this month and next</t>
        </is>
      </c>
    </row>
    <row r="2" ht="46" customHeight="1">
      <c r="A2" s="2" t="inlineStr">
        <is>
          <t>From your CRM, on the same day you type “closed so far” on Closed Sales: each rep’s still-open deals with a close date in the month you are in, and in next month. Dollars, not counts. Don’t include deals that already closed; they are on Closed Sales.</t>
        </is>
      </c>
    </row>
    <row r="3" ht="24" customHeight="1">
      <c r="A3" s="3" t="inlineStr">
        <is>
          <t>Color key:</t>
        </is>
      </c>
      <c r="B3" s="4" t="inlineStr">
        <is>
          <t>You type</t>
        </is>
      </c>
      <c r="C3" s="5" t="inlineStr">
        <is>
          <t>Calculated</t>
        </is>
      </c>
      <c r="D3" s="6" t="inlineStr">
        <is>
          <t>🔍 Insight</t>
        </is>
      </c>
    </row>
    <row r="6" ht="48" customHeight="1">
      <c r="A6" s="17" t="inlineStr">
        <is>
          <t>Rep</t>
        </is>
      </c>
      <c r="B6" s="17">
        <f>"Still open, due this month ("&amp;Setup!$B$7&amp;")"</f>
        <v/>
      </c>
      <c r="C6" s="17">
        <f>"Still open, due next month ("&amp;IF(Setup!$C$7&lt;12,INDEX(Setup!$B$11:$B$22,Setup!$C$7+1),"next year")&amp;")"</f>
        <v/>
      </c>
      <c r="D6" s="17" t="inlineStr">
        <is>
          <t>Number of open deals due this month (optional)</t>
        </is>
      </c>
      <c r="E6" s="17" t="inlineStr">
        <is>
          <t>Notes</t>
        </is>
      </c>
    </row>
    <row r="7" ht="21" customHeight="1">
      <c r="A7" s="15">
        <f>IF(Reps!$A7="","",Reps!$A7)</f>
        <v/>
      </c>
      <c r="B7" s="24" t="n">
        <v>83000</v>
      </c>
      <c r="C7" s="24" t="n">
        <v>125000</v>
      </c>
      <c r="D7" s="13" t="n"/>
      <c r="E7" s="23" t="n"/>
    </row>
    <row r="8" ht="21" customHeight="1">
      <c r="A8" s="15">
        <f>IF(Reps!$A8="","",Reps!$A8)</f>
        <v/>
      </c>
      <c r="B8" s="24" t="n">
        <v>64000</v>
      </c>
      <c r="C8" s="24" t="n">
        <v>50000</v>
      </c>
      <c r="D8" s="13" t="n"/>
      <c r="E8" s="23" t="n"/>
    </row>
    <row r="9" ht="21" customHeight="1">
      <c r="A9" s="15">
        <f>IF(Reps!$A9="","",Reps!$A9)</f>
        <v/>
      </c>
      <c r="B9" s="24" t="n">
        <v>89000</v>
      </c>
      <c r="C9" s="24" t="n">
        <v>139000</v>
      </c>
      <c r="D9" s="13" t="n"/>
      <c r="E9" s="23" t="n"/>
    </row>
    <row r="10" ht="21" customHeight="1">
      <c r="A10" s="15">
        <f>IF(Reps!$A10="","",Reps!$A10)</f>
        <v/>
      </c>
      <c r="B10" s="24" t="n">
        <v>37000</v>
      </c>
      <c r="C10" s="24" t="n">
        <v>77000</v>
      </c>
      <c r="D10" s="13" t="n"/>
      <c r="E10" s="23" t="n"/>
    </row>
    <row r="11" ht="21" customHeight="1">
      <c r="A11" s="15">
        <f>IF(Reps!$A11="","",Reps!$A11)</f>
        <v/>
      </c>
      <c r="B11" s="24" t="n">
        <v>53000</v>
      </c>
      <c r="C11" s="24" t="n">
        <v>64000</v>
      </c>
      <c r="D11" s="13" t="n"/>
      <c r="E11" s="23" t="n"/>
    </row>
    <row r="12" ht="21" customHeight="1">
      <c r="A12" s="15">
        <f>IF(Reps!$A12="","",Reps!$A12)</f>
        <v/>
      </c>
      <c r="B12" s="24" t="n">
        <v>32000</v>
      </c>
      <c r="C12" s="24" t="n">
        <v>80000</v>
      </c>
      <c r="D12" s="13" t="n"/>
      <c r="E12" s="23" t="n"/>
    </row>
    <row r="13" ht="21" customHeight="1">
      <c r="A13" s="15">
        <f>IF(Reps!$A13="","",Reps!$A13)</f>
        <v/>
      </c>
      <c r="B13" s="24" t="n">
        <v>56000</v>
      </c>
      <c r="C13" s="24" t="n">
        <v>82000</v>
      </c>
      <c r="D13" s="13" t="n"/>
      <c r="E13" s="23" t="n"/>
    </row>
    <row r="14" ht="21" customHeight="1">
      <c r="A14" s="15">
        <f>IF(Reps!$A14="","",Reps!$A14)</f>
        <v/>
      </c>
      <c r="B14" s="24" t="n">
        <v>77000</v>
      </c>
      <c r="C14" s="24" t="n">
        <v>137000</v>
      </c>
      <c r="D14" s="13" t="n"/>
      <c r="E14" s="23" t="n"/>
    </row>
    <row r="15" ht="21" customHeight="1">
      <c r="A15" s="15">
        <f>IF(Reps!$A15="","",Reps!$A15)</f>
        <v/>
      </c>
      <c r="B15" s="24" t="n">
        <v>22000</v>
      </c>
      <c r="C15" s="24" t="n">
        <v>42000</v>
      </c>
      <c r="D15" s="13" t="n"/>
      <c r="E15" s="23" t="n"/>
    </row>
    <row r="16" ht="21" customHeight="1">
      <c r="A16" s="15">
        <f>IF(Reps!$A16="","",Reps!$A16)</f>
        <v/>
      </c>
      <c r="B16" s="24" t="n">
        <v>39000</v>
      </c>
      <c r="C16" s="24" t="n">
        <v>60000</v>
      </c>
      <c r="D16" s="13" t="n"/>
      <c r="E16" s="23" t="n"/>
    </row>
    <row r="17" ht="21" customHeight="1">
      <c r="A17" s="15">
        <f>IF(Reps!$A17="","",Reps!$A17)</f>
        <v/>
      </c>
      <c r="B17" s="24" t="n">
        <v>37000</v>
      </c>
      <c r="C17" s="24" t="n">
        <v>46000</v>
      </c>
      <c r="D17" s="13" t="n"/>
      <c r="E17" s="23" t="n"/>
    </row>
    <row r="18" ht="21" customHeight="1">
      <c r="A18" s="15">
        <f>IF(Reps!$A18="","",Reps!$A18)</f>
        <v/>
      </c>
      <c r="B18" s="24" t="n">
        <v>37000</v>
      </c>
      <c r="C18" s="24" t="n">
        <v>54000</v>
      </c>
      <c r="D18" s="13" t="n"/>
      <c r="E18" s="23" t="n"/>
    </row>
    <row r="19" ht="21" customHeight="1">
      <c r="A19" s="15">
        <f>IF(Reps!$A19="","",Reps!$A19)</f>
        <v/>
      </c>
      <c r="B19" s="24" t="n"/>
      <c r="C19" s="24" t="n"/>
      <c r="D19" s="13" t="n"/>
      <c r="E19" s="23" t="n"/>
    </row>
    <row r="20" ht="21" customHeight="1">
      <c r="A20" s="15">
        <f>IF(Reps!$A20="","",Reps!$A20)</f>
        <v/>
      </c>
      <c r="B20" s="24" t="n"/>
      <c r="C20" s="24" t="n"/>
      <c r="D20" s="13" t="n"/>
      <c r="E20" s="23" t="n"/>
    </row>
    <row r="21" ht="21" customHeight="1">
      <c r="A21" s="15">
        <f>IF(Reps!$A21="","",Reps!$A21)</f>
        <v/>
      </c>
      <c r="B21" s="24" t="n"/>
      <c r="C21" s="24" t="n"/>
      <c r="D21" s="13" t="n"/>
      <c r="E21" s="23" t="n"/>
    </row>
    <row r="22" ht="21" customHeight="1">
      <c r="A22" s="15">
        <f>IF(Reps!$A22="","",Reps!$A22)</f>
        <v/>
      </c>
      <c r="B22" s="24" t="n"/>
      <c r="C22" s="24" t="n"/>
      <c r="D22" s="13" t="n"/>
      <c r="E22" s="23" t="n"/>
    </row>
    <row r="23" ht="21" customHeight="1">
      <c r="A23" s="15">
        <f>IF(Reps!$A23="","",Reps!$A23)</f>
        <v/>
      </c>
      <c r="B23" s="24" t="n"/>
      <c r="C23" s="24" t="n"/>
      <c r="D23" s="13" t="n"/>
      <c r="E23" s="23" t="n"/>
    </row>
    <row r="24" ht="21" customHeight="1">
      <c r="A24" s="15">
        <f>IF(Reps!$A24="","",Reps!$A24)</f>
        <v/>
      </c>
      <c r="B24" s="24" t="n"/>
      <c r="C24" s="24" t="n"/>
      <c r="D24" s="13" t="n"/>
      <c r="E24" s="23" t="n"/>
    </row>
    <row r="25" ht="21" customHeight="1">
      <c r="A25" s="15">
        <f>IF(Reps!$A25="","",Reps!$A25)</f>
        <v/>
      </c>
      <c r="B25" s="24" t="n"/>
      <c r="C25" s="24" t="n"/>
      <c r="D25" s="13" t="n"/>
      <c r="E25" s="23" t="n"/>
    </row>
    <row r="26" ht="21" customHeight="1">
      <c r="A26" s="15">
        <f>IF(Reps!$A26="","",Reps!$A26)</f>
        <v/>
      </c>
      <c r="B26" s="24" t="n"/>
      <c r="C26" s="24" t="n"/>
      <c r="D26" s="13" t="n"/>
      <c r="E26" s="23" t="n"/>
    </row>
    <row r="27" ht="21" customHeight="1">
      <c r="A27" s="15">
        <f>IF(Reps!$A27="","",Reps!$A27)</f>
        <v/>
      </c>
      <c r="B27" s="24" t="n"/>
      <c r="C27" s="24" t="n"/>
      <c r="D27" s="13" t="n"/>
      <c r="E27" s="23" t="n"/>
    </row>
    <row r="28" ht="21" customHeight="1">
      <c r="A28" s="15">
        <f>IF(Reps!$A28="","",Reps!$A28)</f>
        <v/>
      </c>
      <c r="B28" s="24" t="n"/>
      <c r="C28" s="24" t="n"/>
      <c r="D28" s="13" t="n"/>
      <c r="E28" s="23" t="n"/>
    </row>
    <row r="29" ht="21" customHeight="1">
      <c r="A29" s="15">
        <f>IF(Reps!$A29="","",Reps!$A29)</f>
        <v/>
      </c>
      <c r="B29" s="24" t="n"/>
      <c r="C29" s="24" t="n"/>
      <c r="D29" s="13" t="n"/>
      <c r="E29" s="23" t="n"/>
    </row>
    <row r="30" ht="21" customHeight="1">
      <c r="A30" s="15">
        <f>IF(Reps!$A30="","",Reps!$A30)</f>
        <v/>
      </c>
      <c r="B30" s="24" t="n"/>
      <c r="C30" s="24" t="n"/>
      <c r="D30" s="13" t="n"/>
      <c r="E30" s="23" t="n"/>
    </row>
    <row r="31" ht="21" customHeight="1">
      <c r="A31" s="15">
        <f>IF(Reps!$A31="","",Reps!$A31)</f>
        <v/>
      </c>
      <c r="B31" s="24" t="n"/>
      <c r="C31" s="24" t="n"/>
      <c r="D31" s="13" t="n"/>
      <c r="E31" s="23" t="n"/>
    </row>
    <row r="32" ht="21" customHeight="1">
      <c r="A32" s="15">
        <f>IF(Reps!$A32="","",Reps!$A32)</f>
        <v/>
      </c>
      <c r="B32" s="24" t="n"/>
      <c r="C32" s="24" t="n"/>
      <c r="D32" s="13" t="n"/>
      <c r="E32" s="23" t="n"/>
    </row>
    <row r="33" ht="21" customHeight="1">
      <c r="A33" s="15">
        <f>IF(Reps!$A33="","",Reps!$A33)</f>
        <v/>
      </c>
      <c r="B33" s="24" t="n"/>
      <c r="C33" s="24" t="n"/>
      <c r="D33" s="13" t="n"/>
      <c r="E33" s="23" t="n"/>
    </row>
    <row r="34" ht="21" customHeight="1">
      <c r="A34" s="15">
        <f>IF(Reps!$A34="","",Reps!$A34)</f>
        <v/>
      </c>
      <c r="B34" s="24" t="n"/>
      <c r="C34" s="24" t="n"/>
      <c r="D34" s="13" t="n"/>
      <c r="E34" s="23" t="n"/>
    </row>
    <row r="35" ht="21" customHeight="1">
      <c r="A35" s="15">
        <f>IF(Reps!$A35="","",Reps!$A35)</f>
        <v/>
      </c>
      <c r="B35" s="24" t="n"/>
      <c r="C35" s="24" t="n"/>
      <c r="D35" s="13" t="n"/>
      <c r="E35" s="23" t="n"/>
    </row>
    <row r="36" ht="21" customHeight="1">
      <c r="A36" s="15">
        <f>IF(Reps!$A36="","",Reps!$A36)</f>
        <v/>
      </c>
      <c r="B36" s="24" t="n"/>
      <c r="C36" s="24" t="n"/>
      <c r="D36" s="13" t="n"/>
      <c r="E36" s="23" t="n"/>
    </row>
  </sheetData>
  <mergeCells count="2">
    <mergeCell ref="A2:E2"/>
    <mergeCell ref="A1:E1"/>
  </mergeCells>
  <pageMargins left="0.75" right="0.75" top="1" bottom="1" header="0.5" footer="0.5"/>
  <pageSetup orientation="landscape" fitToHeight="0" fitToWidth="1"/>
</worksheet>
</file>

<file path=xl/worksheets/sheet7.xml><?xml version="1.0" encoding="utf-8"?>
<worksheet xmlns="http://schemas.openxmlformats.org/spreadsheetml/2006/main">
  <sheetPr>
    <tabColor rgb="001B2A47"/>
    <outlinePr summaryBelow="1" summaryRight="1"/>
    <pageSetUpPr fitToPage="1"/>
  </sheetPr>
  <dimension ref="A1:M37"/>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15" customWidth="1" min="2" max="2"/>
    <col width="15" customWidth="1" min="3" max="3"/>
    <col width="15" customWidth="1" min="4" max="4"/>
    <col width="15" customWidth="1" min="5" max="5"/>
    <col width="13" customWidth="1" min="6" max="6"/>
    <col width="26" customWidth="1" min="7" max="7"/>
    <col width="15" customWidth="1" min="8" max="8"/>
    <col width="15" customWidth="1" min="9" max="9"/>
    <col width="16" customWidth="1" min="10" max="10"/>
    <col width="16" customWidth="1" min="11" max="11"/>
    <col width="16" customWidth="1" min="12" max="12"/>
    <col width="30" customWidth="1" min="13" max="13"/>
  </cols>
  <sheetData>
    <row r="1" ht="36" customHeight="1">
      <c r="A1" s="1" t="inlineStr">
        <is>
          <t>Pace: on track or behind, and what each rep needs from here</t>
        </is>
      </c>
    </row>
    <row r="2" ht="40" customHeight="1">
      <c r="A2" s="2" t="inlineStr">
        <is>
          <t>Everything here is calculated. “On track” means where the rep should be by now, using Quota by Month. A rep who is ahead needs less from here; a rep who is behind needs more.</t>
        </is>
      </c>
    </row>
    <row r="3" ht="24" customHeight="1">
      <c r="A3" s="3" t="inlineStr">
        <is>
          <t>Color key:</t>
        </is>
      </c>
      <c r="B3" s="4" t="inlineStr">
        <is>
          <t>You type</t>
        </is>
      </c>
      <c r="C3" s="5" t="inlineStr">
        <is>
          <t>Calculated</t>
        </is>
      </c>
      <c r="D3" s="6" t="inlineStr">
        <is>
          <t>🔍 Insight</t>
        </is>
      </c>
    </row>
    <row r="4" ht="40" customHeight="1">
      <c r="A4" s="28">
        <f>IFERROR(IF(COUNT(B7:B36)=0,"🔍 Fills in once Reps and Closed Sales have numbers.","🔍 "&amp;Setup!$B$7&amp;": "&amp;COUNTIF(G7:G36,"Behind*")&amp;" of "&amp;COUNT(B7:B36)&amp;" reps are behind; the team is "&amp;IF(E37&gt;=0,TEXT(E37,"$#,##0")&amp;" ahead",TEXT(-E37,"$#,##0")&amp;" behind")&amp;". "&amp;COUNTIF(M7:M36,"Short*")&amp;" reps don’t have enough open deals due this month to get back on track."),"🔍 Fills in once Reps and Closed Sales have numbers.")</f>
        <v/>
      </c>
    </row>
    <row r="6" ht="62" customHeight="1">
      <c r="A6" s="17" t="inlineStr">
        <is>
          <t>Rep</t>
        </is>
      </c>
      <c r="B6" s="17" t="inlineStr">
        <is>
          <t>Quota for the year</t>
        </is>
      </c>
      <c r="C6" s="17" t="inlineStr">
        <is>
          <t>Should have closed by now (through last month)</t>
        </is>
      </c>
      <c r="D6" s="17" t="inlineStr">
        <is>
          <t>Closed through last month</t>
        </is>
      </c>
      <c r="E6" s="17" t="inlineStr">
        <is>
          <t>Ahead (+) or behind (−)</t>
        </is>
      </c>
      <c r="F6" s="17" t="inlineStr">
        <is>
          <t>% on track</t>
        </is>
      </c>
      <c r="G6" s="17" t="inlineStr">
        <is>
          <t>Where they stand</t>
        </is>
      </c>
      <c r="H6" s="17" t="inlineStr">
        <is>
          <t>This month’s quota</t>
        </is>
      </c>
      <c r="I6" s="17" t="inlineStr">
        <is>
          <t>Closed so far this month</t>
        </is>
      </c>
      <c r="J6" s="17" t="inlineStr">
        <is>
          <t>Needed this month to be on track</t>
        </is>
      </c>
      <c r="K6" s="17" t="inlineStr">
        <is>
          <t>Deals likely to close this month (open × close rate)</t>
        </is>
      </c>
      <c r="L6" s="17" t="inlineStr">
        <is>
          <t>Likely this month (closed + likely)</t>
        </is>
      </c>
      <c r="M6" s="17" t="inlineStr">
        <is>
          <t>This month</t>
        </is>
      </c>
    </row>
    <row r="7" ht="30" customHeight="1">
      <c r="A7" s="15">
        <f>IF(Reps!$A7="","",Reps!$A7)</f>
        <v/>
      </c>
      <c r="B7" s="27">
        <f>IF($A7="","",SUM('Quota by Month'!$B7:$M7))</f>
        <v/>
      </c>
      <c r="C7" s="27">
        <f>IF($A7="","",SUMPRODUCT(('Quota by Month'!$B$5:$M$5&lt;Setup!$C$7)*('Quota by Month'!$B7:$M7)))</f>
        <v/>
      </c>
      <c r="D7" s="27">
        <f>IF($A7="","",SUMPRODUCT(('Closed Sales'!$B$5:$M$5&lt;Setup!$C$7)*('Closed Sales'!$B7:$M7)))</f>
        <v/>
      </c>
      <c r="E7" s="27">
        <f>IF($A7="","",D7-C7)</f>
        <v/>
      </c>
      <c r="F7" s="29">
        <f>IF(OR($A7="",N(C7)=0),"",D7/C7)</f>
        <v/>
      </c>
      <c r="G7" s="15">
        <f>IF($A7="","",IF(N(C7)=0,"Not started yet",IF(E7&gt;=0,"Ahead by "&amp;TEXT(E7,"$#,##0"),"Behind by "&amp;TEXT(-E7,"$#,##0"))))</f>
        <v/>
      </c>
      <c r="H7" s="27">
        <f>IF($A7="","",INDEX('Quota by Month'!$B7:$M7,Setup!$C$7))</f>
        <v/>
      </c>
      <c r="I7" s="27">
        <f>IF($A7="","",N(INDEX('Closed Sales'!$B7:$M7,Setup!$C$7)))</f>
        <v/>
      </c>
      <c r="J7" s="27">
        <f>IF($A7="","",MAX(0,SUMPRODUCT(('Quota by Month'!$B$5:$M$5&lt;=Setup!$C$7)*('Quota by Month'!$B7:$M7))-D7-I7))</f>
        <v/>
      </c>
      <c r="K7" s="27">
        <f>IF($A7="","",N(Pipeline!$B7)*IF(ISNUMBER(Reps!$H7),Reps!$H7,IF(ISNUMBER(Setup!$C$8),Setup!$C$8,N(Reps!$F7))))</f>
        <v/>
      </c>
      <c r="L7" s="27">
        <f>IF($A7="","",I7+K7)</f>
        <v/>
      </c>
      <c r="M7" s="15">
        <f>IF($A7="","",IF(J7=0,"On track already",IF(K7&gt;=J7,"Covered: pipeline should get there","Short by "&amp;TEXT(J7-K7,"$#,##0")&amp;": add or pull in deals")))</f>
        <v/>
      </c>
    </row>
    <row r="8" ht="30" customHeight="1">
      <c r="A8" s="15">
        <f>IF(Reps!$A8="","",Reps!$A8)</f>
        <v/>
      </c>
      <c r="B8" s="27">
        <f>IF($A8="","",SUM('Quota by Month'!$B8:$M8))</f>
        <v/>
      </c>
      <c r="C8" s="27">
        <f>IF($A8="","",SUMPRODUCT(('Quota by Month'!$B$5:$M$5&lt;Setup!$C$7)*('Quota by Month'!$B8:$M8)))</f>
        <v/>
      </c>
      <c r="D8" s="27">
        <f>IF($A8="","",SUMPRODUCT(('Closed Sales'!$B$5:$M$5&lt;Setup!$C$7)*('Closed Sales'!$B8:$M8)))</f>
        <v/>
      </c>
      <c r="E8" s="27">
        <f>IF($A8="","",D8-C8)</f>
        <v/>
      </c>
      <c r="F8" s="29">
        <f>IF(OR($A8="",N(C8)=0),"",D8/C8)</f>
        <v/>
      </c>
      <c r="G8" s="15">
        <f>IF($A8="","",IF(N(C8)=0,"Not started yet",IF(E8&gt;=0,"Ahead by "&amp;TEXT(E8,"$#,##0"),"Behind by "&amp;TEXT(-E8,"$#,##0"))))</f>
        <v/>
      </c>
      <c r="H8" s="27">
        <f>IF($A8="","",INDEX('Quota by Month'!$B8:$M8,Setup!$C$7))</f>
        <v/>
      </c>
      <c r="I8" s="27">
        <f>IF($A8="","",N(INDEX('Closed Sales'!$B8:$M8,Setup!$C$7)))</f>
        <v/>
      </c>
      <c r="J8" s="27">
        <f>IF($A8="","",MAX(0,SUMPRODUCT(('Quota by Month'!$B$5:$M$5&lt;=Setup!$C$7)*('Quota by Month'!$B8:$M8))-D8-I8))</f>
        <v/>
      </c>
      <c r="K8" s="27">
        <f>IF($A8="","",N(Pipeline!$B8)*IF(ISNUMBER(Reps!$H8),Reps!$H8,IF(ISNUMBER(Setup!$C$8),Setup!$C$8,N(Reps!$F8))))</f>
        <v/>
      </c>
      <c r="L8" s="27">
        <f>IF($A8="","",I8+K8)</f>
        <v/>
      </c>
      <c r="M8" s="15">
        <f>IF($A8="","",IF(J8=0,"On track already",IF(K8&gt;=J8,"Covered: pipeline should get there","Short by "&amp;TEXT(J8-K8,"$#,##0")&amp;": add or pull in deals")))</f>
        <v/>
      </c>
    </row>
    <row r="9" ht="30" customHeight="1">
      <c r="A9" s="15">
        <f>IF(Reps!$A9="","",Reps!$A9)</f>
        <v/>
      </c>
      <c r="B9" s="27">
        <f>IF($A9="","",SUM('Quota by Month'!$B9:$M9))</f>
        <v/>
      </c>
      <c r="C9" s="27">
        <f>IF($A9="","",SUMPRODUCT(('Quota by Month'!$B$5:$M$5&lt;Setup!$C$7)*('Quota by Month'!$B9:$M9)))</f>
        <v/>
      </c>
      <c r="D9" s="27">
        <f>IF($A9="","",SUMPRODUCT(('Closed Sales'!$B$5:$M$5&lt;Setup!$C$7)*('Closed Sales'!$B9:$M9)))</f>
        <v/>
      </c>
      <c r="E9" s="27">
        <f>IF($A9="","",D9-C9)</f>
        <v/>
      </c>
      <c r="F9" s="29">
        <f>IF(OR($A9="",N(C9)=0),"",D9/C9)</f>
        <v/>
      </c>
      <c r="G9" s="15">
        <f>IF($A9="","",IF(N(C9)=0,"Not started yet",IF(E9&gt;=0,"Ahead by "&amp;TEXT(E9,"$#,##0"),"Behind by "&amp;TEXT(-E9,"$#,##0"))))</f>
        <v/>
      </c>
      <c r="H9" s="27">
        <f>IF($A9="","",INDEX('Quota by Month'!$B9:$M9,Setup!$C$7))</f>
        <v/>
      </c>
      <c r="I9" s="27">
        <f>IF($A9="","",N(INDEX('Closed Sales'!$B9:$M9,Setup!$C$7)))</f>
        <v/>
      </c>
      <c r="J9" s="27">
        <f>IF($A9="","",MAX(0,SUMPRODUCT(('Quota by Month'!$B$5:$M$5&lt;=Setup!$C$7)*('Quota by Month'!$B9:$M9))-D9-I9))</f>
        <v/>
      </c>
      <c r="K9" s="27">
        <f>IF($A9="","",N(Pipeline!$B9)*IF(ISNUMBER(Reps!$H9),Reps!$H9,IF(ISNUMBER(Setup!$C$8),Setup!$C$8,N(Reps!$F9))))</f>
        <v/>
      </c>
      <c r="L9" s="27">
        <f>IF($A9="","",I9+K9)</f>
        <v/>
      </c>
      <c r="M9" s="15">
        <f>IF($A9="","",IF(J9=0,"On track already",IF(K9&gt;=J9,"Covered: pipeline should get there","Short by "&amp;TEXT(J9-K9,"$#,##0")&amp;": add or pull in deals")))</f>
        <v/>
      </c>
    </row>
    <row r="10" ht="30" customHeight="1">
      <c r="A10" s="15">
        <f>IF(Reps!$A10="","",Reps!$A10)</f>
        <v/>
      </c>
      <c r="B10" s="27">
        <f>IF($A10="","",SUM('Quota by Month'!$B10:$M10))</f>
        <v/>
      </c>
      <c r="C10" s="27">
        <f>IF($A10="","",SUMPRODUCT(('Quota by Month'!$B$5:$M$5&lt;Setup!$C$7)*('Quota by Month'!$B10:$M10)))</f>
        <v/>
      </c>
      <c r="D10" s="27">
        <f>IF($A10="","",SUMPRODUCT(('Closed Sales'!$B$5:$M$5&lt;Setup!$C$7)*('Closed Sales'!$B10:$M10)))</f>
        <v/>
      </c>
      <c r="E10" s="27">
        <f>IF($A10="","",D10-C10)</f>
        <v/>
      </c>
      <c r="F10" s="29">
        <f>IF(OR($A10="",N(C10)=0),"",D10/C10)</f>
        <v/>
      </c>
      <c r="G10" s="15">
        <f>IF($A10="","",IF(N(C10)=0,"Not started yet",IF(E10&gt;=0,"Ahead by "&amp;TEXT(E10,"$#,##0"),"Behind by "&amp;TEXT(-E10,"$#,##0"))))</f>
        <v/>
      </c>
      <c r="H10" s="27">
        <f>IF($A10="","",INDEX('Quota by Month'!$B10:$M10,Setup!$C$7))</f>
        <v/>
      </c>
      <c r="I10" s="27">
        <f>IF($A10="","",N(INDEX('Closed Sales'!$B10:$M10,Setup!$C$7)))</f>
        <v/>
      </c>
      <c r="J10" s="27">
        <f>IF($A10="","",MAX(0,SUMPRODUCT(('Quota by Month'!$B$5:$M$5&lt;=Setup!$C$7)*('Quota by Month'!$B10:$M10))-D10-I10))</f>
        <v/>
      </c>
      <c r="K10" s="27">
        <f>IF($A10="","",N(Pipeline!$B10)*IF(ISNUMBER(Reps!$H10),Reps!$H10,IF(ISNUMBER(Setup!$C$8),Setup!$C$8,N(Reps!$F10))))</f>
        <v/>
      </c>
      <c r="L10" s="27">
        <f>IF($A10="","",I10+K10)</f>
        <v/>
      </c>
      <c r="M10" s="15">
        <f>IF($A10="","",IF(J10=0,"On track already",IF(K10&gt;=J10,"Covered: pipeline should get there","Short by "&amp;TEXT(J10-K10,"$#,##0")&amp;": add or pull in deals")))</f>
        <v/>
      </c>
    </row>
    <row r="11" ht="30" customHeight="1">
      <c r="A11" s="15">
        <f>IF(Reps!$A11="","",Reps!$A11)</f>
        <v/>
      </c>
      <c r="B11" s="27">
        <f>IF($A11="","",SUM('Quota by Month'!$B11:$M11))</f>
        <v/>
      </c>
      <c r="C11" s="27">
        <f>IF($A11="","",SUMPRODUCT(('Quota by Month'!$B$5:$M$5&lt;Setup!$C$7)*('Quota by Month'!$B11:$M11)))</f>
        <v/>
      </c>
      <c r="D11" s="27">
        <f>IF($A11="","",SUMPRODUCT(('Closed Sales'!$B$5:$M$5&lt;Setup!$C$7)*('Closed Sales'!$B11:$M11)))</f>
        <v/>
      </c>
      <c r="E11" s="27">
        <f>IF($A11="","",D11-C11)</f>
        <v/>
      </c>
      <c r="F11" s="29">
        <f>IF(OR($A11="",N(C11)=0),"",D11/C11)</f>
        <v/>
      </c>
      <c r="G11" s="15">
        <f>IF($A11="","",IF(N(C11)=0,"Not started yet",IF(E11&gt;=0,"Ahead by "&amp;TEXT(E11,"$#,##0"),"Behind by "&amp;TEXT(-E11,"$#,##0"))))</f>
        <v/>
      </c>
      <c r="H11" s="27">
        <f>IF($A11="","",INDEX('Quota by Month'!$B11:$M11,Setup!$C$7))</f>
        <v/>
      </c>
      <c r="I11" s="27">
        <f>IF($A11="","",N(INDEX('Closed Sales'!$B11:$M11,Setup!$C$7)))</f>
        <v/>
      </c>
      <c r="J11" s="27">
        <f>IF($A11="","",MAX(0,SUMPRODUCT(('Quota by Month'!$B$5:$M$5&lt;=Setup!$C$7)*('Quota by Month'!$B11:$M11))-D11-I11))</f>
        <v/>
      </c>
      <c r="K11" s="27">
        <f>IF($A11="","",N(Pipeline!$B11)*IF(ISNUMBER(Reps!$H11),Reps!$H11,IF(ISNUMBER(Setup!$C$8),Setup!$C$8,N(Reps!$F11))))</f>
        <v/>
      </c>
      <c r="L11" s="27">
        <f>IF($A11="","",I11+K11)</f>
        <v/>
      </c>
      <c r="M11" s="15">
        <f>IF($A11="","",IF(J11=0,"On track already",IF(K11&gt;=J11,"Covered: pipeline should get there","Short by "&amp;TEXT(J11-K11,"$#,##0")&amp;": add or pull in deals")))</f>
        <v/>
      </c>
    </row>
    <row r="12" ht="30" customHeight="1">
      <c r="A12" s="15">
        <f>IF(Reps!$A12="","",Reps!$A12)</f>
        <v/>
      </c>
      <c r="B12" s="27">
        <f>IF($A12="","",SUM('Quota by Month'!$B12:$M12))</f>
        <v/>
      </c>
      <c r="C12" s="27">
        <f>IF($A12="","",SUMPRODUCT(('Quota by Month'!$B$5:$M$5&lt;Setup!$C$7)*('Quota by Month'!$B12:$M12)))</f>
        <v/>
      </c>
      <c r="D12" s="27">
        <f>IF($A12="","",SUMPRODUCT(('Closed Sales'!$B$5:$M$5&lt;Setup!$C$7)*('Closed Sales'!$B12:$M12)))</f>
        <v/>
      </c>
      <c r="E12" s="27">
        <f>IF($A12="","",D12-C12)</f>
        <v/>
      </c>
      <c r="F12" s="29">
        <f>IF(OR($A12="",N(C12)=0),"",D12/C12)</f>
        <v/>
      </c>
      <c r="G12" s="15">
        <f>IF($A12="","",IF(N(C12)=0,"Not started yet",IF(E12&gt;=0,"Ahead by "&amp;TEXT(E12,"$#,##0"),"Behind by "&amp;TEXT(-E12,"$#,##0"))))</f>
        <v/>
      </c>
      <c r="H12" s="27">
        <f>IF($A12="","",INDEX('Quota by Month'!$B12:$M12,Setup!$C$7))</f>
        <v/>
      </c>
      <c r="I12" s="27">
        <f>IF($A12="","",N(INDEX('Closed Sales'!$B12:$M12,Setup!$C$7)))</f>
        <v/>
      </c>
      <c r="J12" s="27">
        <f>IF($A12="","",MAX(0,SUMPRODUCT(('Quota by Month'!$B$5:$M$5&lt;=Setup!$C$7)*('Quota by Month'!$B12:$M12))-D12-I12))</f>
        <v/>
      </c>
      <c r="K12" s="27">
        <f>IF($A12="","",N(Pipeline!$B12)*IF(ISNUMBER(Reps!$H12),Reps!$H12,IF(ISNUMBER(Setup!$C$8),Setup!$C$8,N(Reps!$F12))))</f>
        <v/>
      </c>
      <c r="L12" s="27">
        <f>IF($A12="","",I12+K12)</f>
        <v/>
      </c>
      <c r="M12" s="15">
        <f>IF($A12="","",IF(J12=0,"On track already",IF(K12&gt;=J12,"Covered: pipeline should get there","Short by "&amp;TEXT(J12-K12,"$#,##0")&amp;": add or pull in deals")))</f>
        <v/>
      </c>
    </row>
    <row r="13" ht="30" customHeight="1">
      <c r="A13" s="15">
        <f>IF(Reps!$A13="","",Reps!$A13)</f>
        <v/>
      </c>
      <c r="B13" s="27">
        <f>IF($A13="","",SUM('Quota by Month'!$B13:$M13))</f>
        <v/>
      </c>
      <c r="C13" s="27">
        <f>IF($A13="","",SUMPRODUCT(('Quota by Month'!$B$5:$M$5&lt;Setup!$C$7)*('Quota by Month'!$B13:$M13)))</f>
        <v/>
      </c>
      <c r="D13" s="27">
        <f>IF($A13="","",SUMPRODUCT(('Closed Sales'!$B$5:$M$5&lt;Setup!$C$7)*('Closed Sales'!$B13:$M13)))</f>
        <v/>
      </c>
      <c r="E13" s="27">
        <f>IF($A13="","",D13-C13)</f>
        <v/>
      </c>
      <c r="F13" s="29">
        <f>IF(OR($A13="",N(C13)=0),"",D13/C13)</f>
        <v/>
      </c>
      <c r="G13" s="15">
        <f>IF($A13="","",IF(N(C13)=0,"Not started yet",IF(E13&gt;=0,"Ahead by "&amp;TEXT(E13,"$#,##0"),"Behind by "&amp;TEXT(-E13,"$#,##0"))))</f>
        <v/>
      </c>
      <c r="H13" s="27">
        <f>IF($A13="","",INDEX('Quota by Month'!$B13:$M13,Setup!$C$7))</f>
        <v/>
      </c>
      <c r="I13" s="27">
        <f>IF($A13="","",N(INDEX('Closed Sales'!$B13:$M13,Setup!$C$7)))</f>
        <v/>
      </c>
      <c r="J13" s="27">
        <f>IF($A13="","",MAX(0,SUMPRODUCT(('Quota by Month'!$B$5:$M$5&lt;=Setup!$C$7)*('Quota by Month'!$B13:$M13))-D13-I13))</f>
        <v/>
      </c>
      <c r="K13" s="27">
        <f>IF($A13="","",N(Pipeline!$B13)*IF(ISNUMBER(Reps!$H13),Reps!$H13,IF(ISNUMBER(Setup!$C$8),Setup!$C$8,N(Reps!$F13))))</f>
        <v/>
      </c>
      <c r="L13" s="27">
        <f>IF($A13="","",I13+K13)</f>
        <v/>
      </c>
      <c r="M13" s="15">
        <f>IF($A13="","",IF(J13=0,"On track already",IF(K13&gt;=J13,"Covered: pipeline should get there","Short by "&amp;TEXT(J13-K13,"$#,##0")&amp;": add or pull in deals")))</f>
        <v/>
      </c>
    </row>
    <row r="14" ht="30" customHeight="1">
      <c r="A14" s="15">
        <f>IF(Reps!$A14="","",Reps!$A14)</f>
        <v/>
      </c>
      <c r="B14" s="27">
        <f>IF($A14="","",SUM('Quota by Month'!$B14:$M14))</f>
        <v/>
      </c>
      <c r="C14" s="27">
        <f>IF($A14="","",SUMPRODUCT(('Quota by Month'!$B$5:$M$5&lt;Setup!$C$7)*('Quota by Month'!$B14:$M14)))</f>
        <v/>
      </c>
      <c r="D14" s="27">
        <f>IF($A14="","",SUMPRODUCT(('Closed Sales'!$B$5:$M$5&lt;Setup!$C$7)*('Closed Sales'!$B14:$M14)))</f>
        <v/>
      </c>
      <c r="E14" s="27">
        <f>IF($A14="","",D14-C14)</f>
        <v/>
      </c>
      <c r="F14" s="29">
        <f>IF(OR($A14="",N(C14)=0),"",D14/C14)</f>
        <v/>
      </c>
      <c r="G14" s="15">
        <f>IF($A14="","",IF(N(C14)=0,"Not started yet",IF(E14&gt;=0,"Ahead by "&amp;TEXT(E14,"$#,##0"),"Behind by "&amp;TEXT(-E14,"$#,##0"))))</f>
        <v/>
      </c>
      <c r="H14" s="27">
        <f>IF($A14="","",INDEX('Quota by Month'!$B14:$M14,Setup!$C$7))</f>
        <v/>
      </c>
      <c r="I14" s="27">
        <f>IF($A14="","",N(INDEX('Closed Sales'!$B14:$M14,Setup!$C$7)))</f>
        <v/>
      </c>
      <c r="J14" s="27">
        <f>IF($A14="","",MAX(0,SUMPRODUCT(('Quota by Month'!$B$5:$M$5&lt;=Setup!$C$7)*('Quota by Month'!$B14:$M14))-D14-I14))</f>
        <v/>
      </c>
      <c r="K14" s="27">
        <f>IF($A14="","",N(Pipeline!$B14)*IF(ISNUMBER(Reps!$H14),Reps!$H14,IF(ISNUMBER(Setup!$C$8),Setup!$C$8,N(Reps!$F14))))</f>
        <v/>
      </c>
      <c r="L14" s="27">
        <f>IF($A14="","",I14+K14)</f>
        <v/>
      </c>
      <c r="M14" s="15">
        <f>IF($A14="","",IF(J14=0,"On track already",IF(K14&gt;=J14,"Covered: pipeline should get there","Short by "&amp;TEXT(J14-K14,"$#,##0")&amp;": add or pull in deals")))</f>
        <v/>
      </c>
    </row>
    <row r="15" ht="30" customHeight="1">
      <c r="A15" s="15">
        <f>IF(Reps!$A15="","",Reps!$A15)</f>
        <v/>
      </c>
      <c r="B15" s="27">
        <f>IF($A15="","",SUM('Quota by Month'!$B15:$M15))</f>
        <v/>
      </c>
      <c r="C15" s="27">
        <f>IF($A15="","",SUMPRODUCT(('Quota by Month'!$B$5:$M$5&lt;Setup!$C$7)*('Quota by Month'!$B15:$M15)))</f>
        <v/>
      </c>
      <c r="D15" s="27">
        <f>IF($A15="","",SUMPRODUCT(('Closed Sales'!$B$5:$M$5&lt;Setup!$C$7)*('Closed Sales'!$B15:$M15)))</f>
        <v/>
      </c>
      <c r="E15" s="27">
        <f>IF($A15="","",D15-C15)</f>
        <v/>
      </c>
      <c r="F15" s="29">
        <f>IF(OR($A15="",N(C15)=0),"",D15/C15)</f>
        <v/>
      </c>
      <c r="G15" s="15">
        <f>IF($A15="","",IF(N(C15)=0,"Not started yet",IF(E15&gt;=0,"Ahead by "&amp;TEXT(E15,"$#,##0"),"Behind by "&amp;TEXT(-E15,"$#,##0"))))</f>
        <v/>
      </c>
      <c r="H15" s="27">
        <f>IF($A15="","",INDEX('Quota by Month'!$B15:$M15,Setup!$C$7))</f>
        <v/>
      </c>
      <c r="I15" s="27">
        <f>IF($A15="","",N(INDEX('Closed Sales'!$B15:$M15,Setup!$C$7)))</f>
        <v/>
      </c>
      <c r="J15" s="27">
        <f>IF($A15="","",MAX(0,SUMPRODUCT(('Quota by Month'!$B$5:$M$5&lt;=Setup!$C$7)*('Quota by Month'!$B15:$M15))-D15-I15))</f>
        <v/>
      </c>
      <c r="K15" s="27">
        <f>IF($A15="","",N(Pipeline!$B15)*IF(ISNUMBER(Reps!$H15),Reps!$H15,IF(ISNUMBER(Setup!$C$8),Setup!$C$8,N(Reps!$F15))))</f>
        <v/>
      </c>
      <c r="L15" s="27">
        <f>IF($A15="","",I15+K15)</f>
        <v/>
      </c>
      <c r="M15" s="15">
        <f>IF($A15="","",IF(J15=0,"On track already",IF(K15&gt;=J15,"Covered: pipeline should get there","Short by "&amp;TEXT(J15-K15,"$#,##0")&amp;": add or pull in deals")))</f>
        <v/>
      </c>
    </row>
    <row r="16" ht="30" customHeight="1">
      <c r="A16" s="15">
        <f>IF(Reps!$A16="","",Reps!$A16)</f>
        <v/>
      </c>
      <c r="B16" s="27">
        <f>IF($A16="","",SUM('Quota by Month'!$B16:$M16))</f>
        <v/>
      </c>
      <c r="C16" s="27">
        <f>IF($A16="","",SUMPRODUCT(('Quota by Month'!$B$5:$M$5&lt;Setup!$C$7)*('Quota by Month'!$B16:$M16)))</f>
        <v/>
      </c>
      <c r="D16" s="27">
        <f>IF($A16="","",SUMPRODUCT(('Closed Sales'!$B$5:$M$5&lt;Setup!$C$7)*('Closed Sales'!$B16:$M16)))</f>
        <v/>
      </c>
      <c r="E16" s="27">
        <f>IF($A16="","",D16-C16)</f>
        <v/>
      </c>
      <c r="F16" s="29">
        <f>IF(OR($A16="",N(C16)=0),"",D16/C16)</f>
        <v/>
      </c>
      <c r="G16" s="15">
        <f>IF($A16="","",IF(N(C16)=0,"Not started yet",IF(E16&gt;=0,"Ahead by "&amp;TEXT(E16,"$#,##0"),"Behind by "&amp;TEXT(-E16,"$#,##0"))))</f>
        <v/>
      </c>
      <c r="H16" s="27">
        <f>IF($A16="","",INDEX('Quota by Month'!$B16:$M16,Setup!$C$7))</f>
        <v/>
      </c>
      <c r="I16" s="27">
        <f>IF($A16="","",N(INDEX('Closed Sales'!$B16:$M16,Setup!$C$7)))</f>
        <v/>
      </c>
      <c r="J16" s="27">
        <f>IF($A16="","",MAX(0,SUMPRODUCT(('Quota by Month'!$B$5:$M$5&lt;=Setup!$C$7)*('Quota by Month'!$B16:$M16))-D16-I16))</f>
        <v/>
      </c>
      <c r="K16" s="27">
        <f>IF($A16="","",N(Pipeline!$B16)*IF(ISNUMBER(Reps!$H16),Reps!$H16,IF(ISNUMBER(Setup!$C$8),Setup!$C$8,N(Reps!$F16))))</f>
        <v/>
      </c>
      <c r="L16" s="27">
        <f>IF($A16="","",I16+K16)</f>
        <v/>
      </c>
      <c r="M16" s="15">
        <f>IF($A16="","",IF(J16=0,"On track already",IF(K16&gt;=J16,"Covered: pipeline should get there","Short by "&amp;TEXT(J16-K16,"$#,##0")&amp;": add or pull in deals")))</f>
        <v/>
      </c>
    </row>
    <row r="17" ht="30" customHeight="1">
      <c r="A17" s="15">
        <f>IF(Reps!$A17="","",Reps!$A17)</f>
        <v/>
      </c>
      <c r="B17" s="27">
        <f>IF($A17="","",SUM('Quota by Month'!$B17:$M17))</f>
        <v/>
      </c>
      <c r="C17" s="27">
        <f>IF($A17="","",SUMPRODUCT(('Quota by Month'!$B$5:$M$5&lt;Setup!$C$7)*('Quota by Month'!$B17:$M17)))</f>
        <v/>
      </c>
      <c r="D17" s="27">
        <f>IF($A17="","",SUMPRODUCT(('Closed Sales'!$B$5:$M$5&lt;Setup!$C$7)*('Closed Sales'!$B17:$M17)))</f>
        <v/>
      </c>
      <c r="E17" s="27">
        <f>IF($A17="","",D17-C17)</f>
        <v/>
      </c>
      <c r="F17" s="29">
        <f>IF(OR($A17="",N(C17)=0),"",D17/C17)</f>
        <v/>
      </c>
      <c r="G17" s="15">
        <f>IF($A17="","",IF(N(C17)=0,"Not started yet",IF(E17&gt;=0,"Ahead by "&amp;TEXT(E17,"$#,##0"),"Behind by "&amp;TEXT(-E17,"$#,##0"))))</f>
        <v/>
      </c>
      <c r="H17" s="27">
        <f>IF($A17="","",INDEX('Quota by Month'!$B17:$M17,Setup!$C$7))</f>
        <v/>
      </c>
      <c r="I17" s="27">
        <f>IF($A17="","",N(INDEX('Closed Sales'!$B17:$M17,Setup!$C$7)))</f>
        <v/>
      </c>
      <c r="J17" s="27">
        <f>IF($A17="","",MAX(0,SUMPRODUCT(('Quota by Month'!$B$5:$M$5&lt;=Setup!$C$7)*('Quota by Month'!$B17:$M17))-D17-I17))</f>
        <v/>
      </c>
      <c r="K17" s="27">
        <f>IF($A17="","",N(Pipeline!$B17)*IF(ISNUMBER(Reps!$H17),Reps!$H17,IF(ISNUMBER(Setup!$C$8),Setup!$C$8,N(Reps!$F17))))</f>
        <v/>
      </c>
      <c r="L17" s="27">
        <f>IF($A17="","",I17+K17)</f>
        <v/>
      </c>
      <c r="M17" s="15">
        <f>IF($A17="","",IF(J17=0,"On track already",IF(K17&gt;=J17,"Covered: pipeline should get there","Short by "&amp;TEXT(J17-K17,"$#,##0")&amp;": add or pull in deals")))</f>
        <v/>
      </c>
    </row>
    <row r="18" ht="30" customHeight="1">
      <c r="A18" s="15">
        <f>IF(Reps!$A18="","",Reps!$A18)</f>
        <v/>
      </c>
      <c r="B18" s="27">
        <f>IF($A18="","",SUM('Quota by Month'!$B18:$M18))</f>
        <v/>
      </c>
      <c r="C18" s="27">
        <f>IF($A18="","",SUMPRODUCT(('Quota by Month'!$B$5:$M$5&lt;Setup!$C$7)*('Quota by Month'!$B18:$M18)))</f>
        <v/>
      </c>
      <c r="D18" s="27">
        <f>IF($A18="","",SUMPRODUCT(('Closed Sales'!$B$5:$M$5&lt;Setup!$C$7)*('Closed Sales'!$B18:$M18)))</f>
        <v/>
      </c>
      <c r="E18" s="27">
        <f>IF($A18="","",D18-C18)</f>
        <v/>
      </c>
      <c r="F18" s="29">
        <f>IF(OR($A18="",N(C18)=0),"",D18/C18)</f>
        <v/>
      </c>
      <c r="G18" s="15">
        <f>IF($A18="","",IF(N(C18)=0,"Not started yet",IF(E18&gt;=0,"Ahead by "&amp;TEXT(E18,"$#,##0"),"Behind by "&amp;TEXT(-E18,"$#,##0"))))</f>
        <v/>
      </c>
      <c r="H18" s="27">
        <f>IF($A18="","",INDEX('Quota by Month'!$B18:$M18,Setup!$C$7))</f>
        <v/>
      </c>
      <c r="I18" s="27">
        <f>IF($A18="","",N(INDEX('Closed Sales'!$B18:$M18,Setup!$C$7)))</f>
        <v/>
      </c>
      <c r="J18" s="27">
        <f>IF($A18="","",MAX(0,SUMPRODUCT(('Quota by Month'!$B$5:$M$5&lt;=Setup!$C$7)*('Quota by Month'!$B18:$M18))-D18-I18))</f>
        <v/>
      </c>
      <c r="K18" s="27">
        <f>IF($A18="","",N(Pipeline!$B18)*IF(ISNUMBER(Reps!$H18),Reps!$H18,IF(ISNUMBER(Setup!$C$8),Setup!$C$8,N(Reps!$F18))))</f>
        <v/>
      </c>
      <c r="L18" s="27">
        <f>IF($A18="","",I18+K18)</f>
        <v/>
      </c>
      <c r="M18" s="15">
        <f>IF($A18="","",IF(J18=0,"On track already",IF(K18&gt;=J18,"Covered: pipeline should get there","Short by "&amp;TEXT(J18-K18,"$#,##0")&amp;": add or pull in deals")))</f>
        <v/>
      </c>
    </row>
    <row r="19" ht="30" customHeight="1">
      <c r="A19" s="15">
        <f>IF(Reps!$A19="","",Reps!$A19)</f>
        <v/>
      </c>
      <c r="B19" s="27">
        <f>IF($A19="","",SUM('Quota by Month'!$B19:$M19))</f>
        <v/>
      </c>
      <c r="C19" s="27">
        <f>IF($A19="","",SUMPRODUCT(('Quota by Month'!$B$5:$M$5&lt;Setup!$C$7)*('Quota by Month'!$B19:$M19)))</f>
        <v/>
      </c>
      <c r="D19" s="27">
        <f>IF($A19="","",SUMPRODUCT(('Closed Sales'!$B$5:$M$5&lt;Setup!$C$7)*('Closed Sales'!$B19:$M19)))</f>
        <v/>
      </c>
      <c r="E19" s="27">
        <f>IF($A19="","",D19-C19)</f>
        <v/>
      </c>
      <c r="F19" s="29">
        <f>IF(OR($A19="",N(C19)=0),"",D19/C19)</f>
        <v/>
      </c>
      <c r="G19" s="15">
        <f>IF($A19="","",IF(N(C19)=0,"Not started yet",IF(E19&gt;=0,"Ahead by "&amp;TEXT(E19,"$#,##0"),"Behind by "&amp;TEXT(-E19,"$#,##0"))))</f>
        <v/>
      </c>
      <c r="H19" s="27">
        <f>IF($A19="","",INDEX('Quota by Month'!$B19:$M19,Setup!$C$7))</f>
        <v/>
      </c>
      <c r="I19" s="27">
        <f>IF($A19="","",N(INDEX('Closed Sales'!$B19:$M19,Setup!$C$7)))</f>
        <v/>
      </c>
      <c r="J19" s="27">
        <f>IF($A19="","",MAX(0,SUMPRODUCT(('Quota by Month'!$B$5:$M$5&lt;=Setup!$C$7)*('Quota by Month'!$B19:$M19))-D19-I19))</f>
        <v/>
      </c>
      <c r="K19" s="27">
        <f>IF($A19="","",N(Pipeline!$B19)*IF(ISNUMBER(Reps!$H19),Reps!$H19,IF(ISNUMBER(Setup!$C$8),Setup!$C$8,N(Reps!$F19))))</f>
        <v/>
      </c>
      <c r="L19" s="27">
        <f>IF($A19="","",I19+K19)</f>
        <v/>
      </c>
      <c r="M19" s="15">
        <f>IF($A19="","",IF(J19=0,"On track already",IF(K19&gt;=J19,"Covered: pipeline should get there","Short by "&amp;TEXT(J19-K19,"$#,##0")&amp;": add or pull in deals")))</f>
        <v/>
      </c>
    </row>
    <row r="20" ht="30" customHeight="1">
      <c r="A20" s="15">
        <f>IF(Reps!$A20="","",Reps!$A20)</f>
        <v/>
      </c>
      <c r="B20" s="27">
        <f>IF($A20="","",SUM('Quota by Month'!$B20:$M20))</f>
        <v/>
      </c>
      <c r="C20" s="27">
        <f>IF($A20="","",SUMPRODUCT(('Quota by Month'!$B$5:$M$5&lt;Setup!$C$7)*('Quota by Month'!$B20:$M20)))</f>
        <v/>
      </c>
      <c r="D20" s="27">
        <f>IF($A20="","",SUMPRODUCT(('Closed Sales'!$B$5:$M$5&lt;Setup!$C$7)*('Closed Sales'!$B20:$M20)))</f>
        <v/>
      </c>
      <c r="E20" s="27">
        <f>IF($A20="","",D20-C20)</f>
        <v/>
      </c>
      <c r="F20" s="29">
        <f>IF(OR($A20="",N(C20)=0),"",D20/C20)</f>
        <v/>
      </c>
      <c r="G20" s="15">
        <f>IF($A20="","",IF(N(C20)=0,"Not started yet",IF(E20&gt;=0,"Ahead by "&amp;TEXT(E20,"$#,##0"),"Behind by "&amp;TEXT(-E20,"$#,##0"))))</f>
        <v/>
      </c>
      <c r="H20" s="27">
        <f>IF($A20="","",INDEX('Quota by Month'!$B20:$M20,Setup!$C$7))</f>
        <v/>
      </c>
      <c r="I20" s="27">
        <f>IF($A20="","",N(INDEX('Closed Sales'!$B20:$M20,Setup!$C$7)))</f>
        <v/>
      </c>
      <c r="J20" s="27">
        <f>IF($A20="","",MAX(0,SUMPRODUCT(('Quota by Month'!$B$5:$M$5&lt;=Setup!$C$7)*('Quota by Month'!$B20:$M20))-D20-I20))</f>
        <v/>
      </c>
      <c r="K20" s="27">
        <f>IF($A20="","",N(Pipeline!$B20)*IF(ISNUMBER(Reps!$H20),Reps!$H20,IF(ISNUMBER(Setup!$C$8),Setup!$C$8,N(Reps!$F20))))</f>
        <v/>
      </c>
      <c r="L20" s="27">
        <f>IF($A20="","",I20+K20)</f>
        <v/>
      </c>
      <c r="M20" s="15">
        <f>IF($A20="","",IF(J20=0,"On track already",IF(K20&gt;=J20,"Covered: pipeline should get there","Short by "&amp;TEXT(J20-K20,"$#,##0")&amp;": add or pull in deals")))</f>
        <v/>
      </c>
    </row>
    <row r="21" ht="30" customHeight="1">
      <c r="A21" s="15">
        <f>IF(Reps!$A21="","",Reps!$A21)</f>
        <v/>
      </c>
      <c r="B21" s="27">
        <f>IF($A21="","",SUM('Quota by Month'!$B21:$M21))</f>
        <v/>
      </c>
      <c r="C21" s="27">
        <f>IF($A21="","",SUMPRODUCT(('Quota by Month'!$B$5:$M$5&lt;Setup!$C$7)*('Quota by Month'!$B21:$M21)))</f>
        <v/>
      </c>
      <c r="D21" s="27">
        <f>IF($A21="","",SUMPRODUCT(('Closed Sales'!$B$5:$M$5&lt;Setup!$C$7)*('Closed Sales'!$B21:$M21)))</f>
        <v/>
      </c>
      <c r="E21" s="27">
        <f>IF($A21="","",D21-C21)</f>
        <v/>
      </c>
      <c r="F21" s="29">
        <f>IF(OR($A21="",N(C21)=0),"",D21/C21)</f>
        <v/>
      </c>
      <c r="G21" s="15">
        <f>IF($A21="","",IF(N(C21)=0,"Not started yet",IF(E21&gt;=0,"Ahead by "&amp;TEXT(E21,"$#,##0"),"Behind by "&amp;TEXT(-E21,"$#,##0"))))</f>
        <v/>
      </c>
      <c r="H21" s="27">
        <f>IF($A21="","",INDEX('Quota by Month'!$B21:$M21,Setup!$C$7))</f>
        <v/>
      </c>
      <c r="I21" s="27">
        <f>IF($A21="","",N(INDEX('Closed Sales'!$B21:$M21,Setup!$C$7)))</f>
        <v/>
      </c>
      <c r="J21" s="27">
        <f>IF($A21="","",MAX(0,SUMPRODUCT(('Quota by Month'!$B$5:$M$5&lt;=Setup!$C$7)*('Quota by Month'!$B21:$M21))-D21-I21))</f>
        <v/>
      </c>
      <c r="K21" s="27">
        <f>IF($A21="","",N(Pipeline!$B21)*IF(ISNUMBER(Reps!$H21),Reps!$H21,IF(ISNUMBER(Setup!$C$8),Setup!$C$8,N(Reps!$F21))))</f>
        <v/>
      </c>
      <c r="L21" s="27">
        <f>IF($A21="","",I21+K21)</f>
        <v/>
      </c>
      <c r="M21" s="15">
        <f>IF($A21="","",IF(J21=0,"On track already",IF(K21&gt;=J21,"Covered: pipeline should get there","Short by "&amp;TEXT(J21-K21,"$#,##0")&amp;": add or pull in deals")))</f>
        <v/>
      </c>
    </row>
    <row r="22" ht="30" customHeight="1">
      <c r="A22" s="15">
        <f>IF(Reps!$A22="","",Reps!$A22)</f>
        <v/>
      </c>
      <c r="B22" s="27">
        <f>IF($A22="","",SUM('Quota by Month'!$B22:$M22))</f>
        <v/>
      </c>
      <c r="C22" s="27">
        <f>IF($A22="","",SUMPRODUCT(('Quota by Month'!$B$5:$M$5&lt;Setup!$C$7)*('Quota by Month'!$B22:$M22)))</f>
        <v/>
      </c>
      <c r="D22" s="27">
        <f>IF($A22="","",SUMPRODUCT(('Closed Sales'!$B$5:$M$5&lt;Setup!$C$7)*('Closed Sales'!$B22:$M22)))</f>
        <v/>
      </c>
      <c r="E22" s="27">
        <f>IF($A22="","",D22-C22)</f>
        <v/>
      </c>
      <c r="F22" s="29">
        <f>IF(OR($A22="",N(C22)=0),"",D22/C22)</f>
        <v/>
      </c>
      <c r="G22" s="15">
        <f>IF($A22="","",IF(N(C22)=0,"Not started yet",IF(E22&gt;=0,"Ahead by "&amp;TEXT(E22,"$#,##0"),"Behind by "&amp;TEXT(-E22,"$#,##0"))))</f>
        <v/>
      </c>
      <c r="H22" s="27">
        <f>IF($A22="","",INDEX('Quota by Month'!$B22:$M22,Setup!$C$7))</f>
        <v/>
      </c>
      <c r="I22" s="27">
        <f>IF($A22="","",N(INDEX('Closed Sales'!$B22:$M22,Setup!$C$7)))</f>
        <v/>
      </c>
      <c r="J22" s="27">
        <f>IF($A22="","",MAX(0,SUMPRODUCT(('Quota by Month'!$B$5:$M$5&lt;=Setup!$C$7)*('Quota by Month'!$B22:$M22))-D22-I22))</f>
        <v/>
      </c>
      <c r="K22" s="27">
        <f>IF($A22="","",N(Pipeline!$B22)*IF(ISNUMBER(Reps!$H22),Reps!$H22,IF(ISNUMBER(Setup!$C$8),Setup!$C$8,N(Reps!$F22))))</f>
        <v/>
      </c>
      <c r="L22" s="27">
        <f>IF($A22="","",I22+K22)</f>
        <v/>
      </c>
      <c r="M22" s="15">
        <f>IF($A22="","",IF(J22=0,"On track already",IF(K22&gt;=J22,"Covered: pipeline should get there","Short by "&amp;TEXT(J22-K22,"$#,##0")&amp;": add or pull in deals")))</f>
        <v/>
      </c>
    </row>
    <row r="23" ht="30" customHeight="1">
      <c r="A23" s="15">
        <f>IF(Reps!$A23="","",Reps!$A23)</f>
        <v/>
      </c>
      <c r="B23" s="27">
        <f>IF($A23="","",SUM('Quota by Month'!$B23:$M23))</f>
        <v/>
      </c>
      <c r="C23" s="27">
        <f>IF($A23="","",SUMPRODUCT(('Quota by Month'!$B$5:$M$5&lt;Setup!$C$7)*('Quota by Month'!$B23:$M23)))</f>
        <v/>
      </c>
      <c r="D23" s="27">
        <f>IF($A23="","",SUMPRODUCT(('Closed Sales'!$B$5:$M$5&lt;Setup!$C$7)*('Closed Sales'!$B23:$M23)))</f>
        <v/>
      </c>
      <c r="E23" s="27">
        <f>IF($A23="","",D23-C23)</f>
        <v/>
      </c>
      <c r="F23" s="29">
        <f>IF(OR($A23="",N(C23)=0),"",D23/C23)</f>
        <v/>
      </c>
      <c r="G23" s="15">
        <f>IF($A23="","",IF(N(C23)=0,"Not started yet",IF(E23&gt;=0,"Ahead by "&amp;TEXT(E23,"$#,##0"),"Behind by "&amp;TEXT(-E23,"$#,##0"))))</f>
        <v/>
      </c>
      <c r="H23" s="27">
        <f>IF($A23="","",INDEX('Quota by Month'!$B23:$M23,Setup!$C$7))</f>
        <v/>
      </c>
      <c r="I23" s="27">
        <f>IF($A23="","",N(INDEX('Closed Sales'!$B23:$M23,Setup!$C$7)))</f>
        <v/>
      </c>
      <c r="J23" s="27">
        <f>IF($A23="","",MAX(0,SUMPRODUCT(('Quota by Month'!$B$5:$M$5&lt;=Setup!$C$7)*('Quota by Month'!$B23:$M23))-D23-I23))</f>
        <v/>
      </c>
      <c r="K23" s="27">
        <f>IF($A23="","",N(Pipeline!$B23)*IF(ISNUMBER(Reps!$H23),Reps!$H23,IF(ISNUMBER(Setup!$C$8),Setup!$C$8,N(Reps!$F23))))</f>
        <v/>
      </c>
      <c r="L23" s="27">
        <f>IF($A23="","",I23+K23)</f>
        <v/>
      </c>
      <c r="M23" s="15">
        <f>IF($A23="","",IF(J23=0,"On track already",IF(K23&gt;=J23,"Covered: pipeline should get there","Short by "&amp;TEXT(J23-K23,"$#,##0")&amp;": add or pull in deals")))</f>
        <v/>
      </c>
    </row>
    <row r="24" ht="30" customHeight="1">
      <c r="A24" s="15">
        <f>IF(Reps!$A24="","",Reps!$A24)</f>
        <v/>
      </c>
      <c r="B24" s="27">
        <f>IF($A24="","",SUM('Quota by Month'!$B24:$M24))</f>
        <v/>
      </c>
      <c r="C24" s="27">
        <f>IF($A24="","",SUMPRODUCT(('Quota by Month'!$B$5:$M$5&lt;Setup!$C$7)*('Quota by Month'!$B24:$M24)))</f>
        <v/>
      </c>
      <c r="D24" s="27">
        <f>IF($A24="","",SUMPRODUCT(('Closed Sales'!$B$5:$M$5&lt;Setup!$C$7)*('Closed Sales'!$B24:$M24)))</f>
        <v/>
      </c>
      <c r="E24" s="27">
        <f>IF($A24="","",D24-C24)</f>
        <v/>
      </c>
      <c r="F24" s="29">
        <f>IF(OR($A24="",N(C24)=0),"",D24/C24)</f>
        <v/>
      </c>
      <c r="G24" s="15">
        <f>IF($A24="","",IF(N(C24)=0,"Not started yet",IF(E24&gt;=0,"Ahead by "&amp;TEXT(E24,"$#,##0"),"Behind by "&amp;TEXT(-E24,"$#,##0"))))</f>
        <v/>
      </c>
      <c r="H24" s="27">
        <f>IF($A24="","",INDEX('Quota by Month'!$B24:$M24,Setup!$C$7))</f>
        <v/>
      </c>
      <c r="I24" s="27">
        <f>IF($A24="","",N(INDEX('Closed Sales'!$B24:$M24,Setup!$C$7)))</f>
        <v/>
      </c>
      <c r="J24" s="27">
        <f>IF($A24="","",MAX(0,SUMPRODUCT(('Quota by Month'!$B$5:$M$5&lt;=Setup!$C$7)*('Quota by Month'!$B24:$M24))-D24-I24))</f>
        <v/>
      </c>
      <c r="K24" s="27">
        <f>IF($A24="","",N(Pipeline!$B24)*IF(ISNUMBER(Reps!$H24),Reps!$H24,IF(ISNUMBER(Setup!$C$8),Setup!$C$8,N(Reps!$F24))))</f>
        <v/>
      </c>
      <c r="L24" s="27">
        <f>IF($A24="","",I24+K24)</f>
        <v/>
      </c>
      <c r="M24" s="15">
        <f>IF($A24="","",IF(J24=0,"On track already",IF(K24&gt;=J24,"Covered: pipeline should get there","Short by "&amp;TEXT(J24-K24,"$#,##0")&amp;": add or pull in deals")))</f>
        <v/>
      </c>
    </row>
    <row r="25" ht="30" customHeight="1">
      <c r="A25" s="15">
        <f>IF(Reps!$A25="","",Reps!$A25)</f>
        <v/>
      </c>
      <c r="B25" s="27">
        <f>IF($A25="","",SUM('Quota by Month'!$B25:$M25))</f>
        <v/>
      </c>
      <c r="C25" s="27">
        <f>IF($A25="","",SUMPRODUCT(('Quota by Month'!$B$5:$M$5&lt;Setup!$C$7)*('Quota by Month'!$B25:$M25)))</f>
        <v/>
      </c>
      <c r="D25" s="27">
        <f>IF($A25="","",SUMPRODUCT(('Closed Sales'!$B$5:$M$5&lt;Setup!$C$7)*('Closed Sales'!$B25:$M25)))</f>
        <v/>
      </c>
      <c r="E25" s="27">
        <f>IF($A25="","",D25-C25)</f>
        <v/>
      </c>
      <c r="F25" s="29">
        <f>IF(OR($A25="",N(C25)=0),"",D25/C25)</f>
        <v/>
      </c>
      <c r="G25" s="15">
        <f>IF($A25="","",IF(N(C25)=0,"Not started yet",IF(E25&gt;=0,"Ahead by "&amp;TEXT(E25,"$#,##0"),"Behind by "&amp;TEXT(-E25,"$#,##0"))))</f>
        <v/>
      </c>
      <c r="H25" s="27">
        <f>IF($A25="","",INDEX('Quota by Month'!$B25:$M25,Setup!$C$7))</f>
        <v/>
      </c>
      <c r="I25" s="27">
        <f>IF($A25="","",N(INDEX('Closed Sales'!$B25:$M25,Setup!$C$7)))</f>
        <v/>
      </c>
      <c r="J25" s="27">
        <f>IF($A25="","",MAX(0,SUMPRODUCT(('Quota by Month'!$B$5:$M$5&lt;=Setup!$C$7)*('Quota by Month'!$B25:$M25))-D25-I25))</f>
        <v/>
      </c>
      <c r="K25" s="27">
        <f>IF($A25="","",N(Pipeline!$B25)*IF(ISNUMBER(Reps!$H25),Reps!$H25,IF(ISNUMBER(Setup!$C$8),Setup!$C$8,N(Reps!$F25))))</f>
        <v/>
      </c>
      <c r="L25" s="27">
        <f>IF($A25="","",I25+K25)</f>
        <v/>
      </c>
      <c r="M25" s="15">
        <f>IF($A25="","",IF(J25=0,"On track already",IF(K25&gt;=J25,"Covered: pipeline should get there","Short by "&amp;TEXT(J25-K25,"$#,##0")&amp;": add or pull in deals")))</f>
        <v/>
      </c>
    </row>
    <row r="26" ht="30" customHeight="1">
      <c r="A26" s="15">
        <f>IF(Reps!$A26="","",Reps!$A26)</f>
        <v/>
      </c>
      <c r="B26" s="27">
        <f>IF($A26="","",SUM('Quota by Month'!$B26:$M26))</f>
        <v/>
      </c>
      <c r="C26" s="27">
        <f>IF($A26="","",SUMPRODUCT(('Quota by Month'!$B$5:$M$5&lt;Setup!$C$7)*('Quota by Month'!$B26:$M26)))</f>
        <v/>
      </c>
      <c r="D26" s="27">
        <f>IF($A26="","",SUMPRODUCT(('Closed Sales'!$B$5:$M$5&lt;Setup!$C$7)*('Closed Sales'!$B26:$M26)))</f>
        <v/>
      </c>
      <c r="E26" s="27">
        <f>IF($A26="","",D26-C26)</f>
        <v/>
      </c>
      <c r="F26" s="29">
        <f>IF(OR($A26="",N(C26)=0),"",D26/C26)</f>
        <v/>
      </c>
      <c r="G26" s="15">
        <f>IF($A26="","",IF(N(C26)=0,"Not started yet",IF(E26&gt;=0,"Ahead by "&amp;TEXT(E26,"$#,##0"),"Behind by "&amp;TEXT(-E26,"$#,##0"))))</f>
        <v/>
      </c>
      <c r="H26" s="27">
        <f>IF($A26="","",INDEX('Quota by Month'!$B26:$M26,Setup!$C$7))</f>
        <v/>
      </c>
      <c r="I26" s="27">
        <f>IF($A26="","",N(INDEX('Closed Sales'!$B26:$M26,Setup!$C$7)))</f>
        <v/>
      </c>
      <c r="J26" s="27">
        <f>IF($A26="","",MAX(0,SUMPRODUCT(('Quota by Month'!$B$5:$M$5&lt;=Setup!$C$7)*('Quota by Month'!$B26:$M26))-D26-I26))</f>
        <v/>
      </c>
      <c r="K26" s="27">
        <f>IF($A26="","",N(Pipeline!$B26)*IF(ISNUMBER(Reps!$H26),Reps!$H26,IF(ISNUMBER(Setup!$C$8),Setup!$C$8,N(Reps!$F26))))</f>
        <v/>
      </c>
      <c r="L26" s="27">
        <f>IF($A26="","",I26+K26)</f>
        <v/>
      </c>
      <c r="M26" s="15">
        <f>IF($A26="","",IF(J26=0,"On track already",IF(K26&gt;=J26,"Covered: pipeline should get there","Short by "&amp;TEXT(J26-K26,"$#,##0")&amp;": add or pull in deals")))</f>
        <v/>
      </c>
    </row>
    <row r="27" ht="30" customHeight="1">
      <c r="A27" s="15">
        <f>IF(Reps!$A27="","",Reps!$A27)</f>
        <v/>
      </c>
      <c r="B27" s="27">
        <f>IF($A27="","",SUM('Quota by Month'!$B27:$M27))</f>
        <v/>
      </c>
      <c r="C27" s="27">
        <f>IF($A27="","",SUMPRODUCT(('Quota by Month'!$B$5:$M$5&lt;Setup!$C$7)*('Quota by Month'!$B27:$M27)))</f>
        <v/>
      </c>
      <c r="D27" s="27">
        <f>IF($A27="","",SUMPRODUCT(('Closed Sales'!$B$5:$M$5&lt;Setup!$C$7)*('Closed Sales'!$B27:$M27)))</f>
        <v/>
      </c>
      <c r="E27" s="27">
        <f>IF($A27="","",D27-C27)</f>
        <v/>
      </c>
      <c r="F27" s="29">
        <f>IF(OR($A27="",N(C27)=0),"",D27/C27)</f>
        <v/>
      </c>
      <c r="G27" s="15">
        <f>IF($A27="","",IF(N(C27)=0,"Not started yet",IF(E27&gt;=0,"Ahead by "&amp;TEXT(E27,"$#,##0"),"Behind by "&amp;TEXT(-E27,"$#,##0"))))</f>
        <v/>
      </c>
      <c r="H27" s="27">
        <f>IF($A27="","",INDEX('Quota by Month'!$B27:$M27,Setup!$C$7))</f>
        <v/>
      </c>
      <c r="I27" s="27">
        <f>IF($A27="","",N(INDEX('Closed Sales'!$B27:$M27,Setup!$C$7)))</f>
        <v/>
      </c>
      <c r="J27" s="27">
        <f>IF($A27="","",MAX(0,SUMPRODUCT(('Quota by Month'!$B$5:$M$5&lt;=Setup!$C$7)*('Quota by Month'!$B27:$M27))-D27-I27))</f>
        <v/>
      </c>
      <c r="K27" s="27">
        <f>IF($A27="","",N(Pipeline!$B27)*IF(ISNUMBER(Reps!$H27),Reps!$H27,IF(ISNUMBER(Setup!$C$8),Setup!$C$8,N(Reps!$F27))))</f>
        <v/>
      </c>
      <c r="L27" s="27">
        <f>IF($A27="","",I27+K27)</f>
        <v/>
      </c>
      <c r="M27" s="15">
        <f>IF($A27="","",IF(J27=0,"On track already",IF(K27&gt;=J27,"Covered: pipeline should get there","Short by "&amp;TEXT(J27-K27,"$#,##0")&amp;": add or pull in deals")))</f>
        <v/>
      </c>
    </row>
    <row r="28" ht="30" customHeight="1">
      <c r="A28" s="15">
        <f>IF(Reps!$A28="","",Reps!$A28)</f>
        <v/>
      </c>
      <c r="B28" s="27">
        <f>IF($A28="","",SUM('Quota by Month'!$B28:$M28))</f>
        <v/>
      </c>
      <c r="C28" s="27">
        <f>IF($A28="","",SUMPRODUCT(('Quota by Month'!$B$5:$M$5&lt;Setup!$C$7)*('Quota by Month'!$B28:$M28)))</f>
        <v/>
      </c>
      <c r="D28" s="27">
        <f>IF($A28="","",SUMPRODUCT(('Closed Sales'!$B$5:$M$5&lt;Setup!$C$7)*('Closed Sales'!$B28:$M28)))</f>
        <v/>
      </c>
      <c r="E28" s="27">
        <f>IF($A28="","",D28-C28)</f>
        <v/>
      </c>
      <c r="F28" s="29">
        <f>IF(OR($A28="",N(C28)=0),"",D28/C28)</f>
        <v/>
      </c>
      <c r="G28" s="15">
        <f>IF($A28="","",IF(N(C28)=0,"Not started yet",IF(E28&gt;=0,"Ahead by "&amp;TEXT(E28,"$#,##0"),"Behind by "&amp;TEXT(-E28,"$#,##0"))))</f>
        <v/>
      </c>
      <c r="H28" s="27">
        <f>IF($A28="","",INDEX('Quota by Month'!$B28:$M28,Setup!$C$7))</f>
        <v/>
      </c>
      <c r="I28" s="27">
        <f>IF($A28="","",N(INDEX('Closed Sales'!$B28:$M28,Setup!$C$7)))</f>
        <v/>
      </c>
      <c r="J28" s="27">
        <f>IF($A28="","",MAX(0,SUMPRODUCT(('Quota by Month'!$B$5:$M$5&lt;=Setup!$C$7)*('Quota by Month'!$B28:$M28))-D28-I28))</f>
        <v/>
      </c>
      <c r="K28" s="27">
        <f>IF($A28="","",N(Pipeline!$B28)*IF(ISNUMBER(Reps!$H28),Reps!$H28,IF(ISNUMBER(Setup!$C$8),Setup!$C$8,N(Reps!$F28))))</f>
        <v/>
      </c>
      <c r="L28" s="27">
        <f>IF($A28="","",I28+K28)</f>
        <v/>
      </c>
      <c r="M28" s="15">
        <f>IF($A28="","",IF(J28=0,"On track already",IF(K28&gt;=J28,"Covered: pipeline should get there","Short by "&amp;TEXT(J28-K28,"$#,##0")&amp;": add or pull in deals")))</f>
        <v/>
      </c>
    </row>
    <row r="29" ht="30" customHeight="1">
      <c r="A29" s="15">
        <f>IF(Reps!$A29="","",Reps!$A29)</f>
        <v/>
      </c>
      <c r="B29" s="27">
        <f>IF($A29="","",SUM('Quota by Month'!$B29:$M29))</f>
        <v/>
      </c>
      <c r="C29" s="27">
        <f>IF($A29="","",SUMPRODUCT(('Quota by Month'!$B$5:$M$5&lt;Setup!$C$7)*('Quota by Month'!$B29:$M29)))</f>
        <v/>
      </c>
      <c r="D29" s="27">
        <f>IF($A29="","",SUMPRODUCT(('Closed Sales'!$B$5:$M$5&lt;Setup!$C$7)*('Closed Sales'!$B29:$M29)))</f>
        <v/>
      </c>
      <c r="E29" s="27">
        <f>IF($A29="","",D29-C29)</f>
        <v/>
      </c>
      <c r="F29" s="29">
        <f>IF(OR($A29="",N(C29)=0),"",D29/C29)</f>
        <v/>
      </c>
      <c r="G29" s="15">
        <f>IF($A29="","",IF(N(C29)=0,"Not started yet",IF(E29&gt;=0,"Ahead by "&amp;TEXT(E29,"$#,##0"),"Behind by "&amp;TEXT(-E29,"$#,##0"))))</f>
        <v/>
      </c>
      <c r="H29" s="27">
        <f>IF($A29="","",INDEX('Quota by Month'!$B29:$M29,Setup!$C$7))</f>
        <v/>
      </c>
      <c r="I29" s="27">
        <f>IF($A29="","",N(INDEX('Closed Sales'!$B29:$M29,Setup!$C$7)))</f>
        <v/>
      </c>
      <c r="J29" s="27">
        <f>IF($A29="","",MAX(0,SUMPRODUCT(('Quota by Month'!$B$5:$M$5&lt;=Setup!$C$7)*('Quota by Month'!$B29:$M29))-D29-I29))</f>
        <v/>
      </c>
      <c r="K29" s="27">
        <f>IF($A29="","",N(Pipeline!$B29)*IF(ISNUMBER(Reps!$H29),Reps!$H29,IF(ISNUMBER(Setup!$C$8),Setup!$C$8,N(Reps!$F29))))</f>
        <v/>
      </c>
      <c r="L29" s="27">
        <f>IF($A29="","",I29+K29)</f>
        <v/>
      </c>
      <c r="M29" s="15">
        <f>IF($A29="","",IF(J29=0,"On track already",IF(K29&gt;=J29,"Covered: pipeline should get there","Short by "&amp;TEXT(J29-K29,"$#,##0")&amp;": add or pull in deals")))</f>
        <v/>
      </c>
    </row>
    <row r="30" ht="30" customHeight="1">
      <c r="A30" s="15">
        <f>IF(Reps!$A30="","",Reps!$A30)</f>
        <v/>
      </c>
      <c r="B30" s="27">
        <f>IF($A30="","",SUM('Quota by Month'!$B30:$M30))</f>
        <v/>
      </c>
      <c r="C30" s="27">
        <f>IF($A30="","",SUMPRODUCT(('Quota by Month'!$B$5:$M$5&lt;Setup!$C$7)*('Quota by Month'!$B30:$M30)))</f>
        <v/>
      </c>
      <c r="D30" s="27">
        <f>IF($A30="","",SUMPRODUCT(('Closed Sales'!$B$5:$M$5&lt;Setup!$C$7)*('Closed Sales'!$B30:$M30)))</f>
        <v/>
      </c>
      <c r="E30" s="27">
        <f>IF($A30="","",D30-C30)</f>
        <v/>
      </c>
      <c r="F30" s="29">
        <f>IF(OR($A30="",N(C30)=0),"",D30/C30)</f>
        <v/>
      </c>
      <c r="G30" s="15">
        <f>IF($A30="","",IF(N(C30)=0,"Not started yet",IF(E30&gt;=0,"Ahead by "&amp;TEXT(E30,"$#,##0"),"Behind by "&amp;TEXT(-E30,"$#,##0"))))</f>
        <v/>
      </c>
      <c r="H30" s="27">
        <f>IF($A30="","",INDEX('Quota by Month'!$B30:$M30,Setup!$C$7))</f>
        <v/>
      </c>
      <c r="I30" s="27">
        <f>IF($A30="","",N(INDEX('Closed Sales'!$B30:$M30,Setup!$C$7)))</f>
        <v/>
      </c>
      <c r="J30" s="27">
        <f>IF($A30="","",MAX(0,SUMPRODUCT(('Quota by Month'!$B$5:$M$5&lt;=Setup!$C$7)*('Quota by Month'!$B30:$M30))-D30-I30))</f>
        <v/>
      </c>
      <c r="K30" s="27">
        <f>IF($A30="","",N(Pipeline!$B30)*IF(ISNUMBER(Reps!$H30),Reps!$H30,IF(ISNUMBER(Setup!$C$8),Setup!$C$8,N(Reps!$F30))))</f>
        <v/>
      </c>
      <c r="L30" s="27">
        <f>IF($A30="","",I30+K30)</f>
        <v/>
      </c>
      <c r="M30" s="15">
        <f>IF($A30="","",IF(J30=0,"On track already",IF(K30&gt;=J30,"Covered: pipeline should get there","Short by "&amp;TEXT(J30-K30,"$#,##0")&amp;": add or pull in deals")))</f>
        <v/>
      </c>
    </row>
    <row r="31" ht="30" customHeight="1">
      <c r="A31" s="15">
        <f>IF(Reps!$A31="","",Reps!$A31)</f>
        <v/>
      </c>
      <c r="B31" s="27">
        <f>IF($A31="","",SUM('Quota by Month'!$B31:$M31))</f>
        <v/>
      </c>
      <c r="C31" s="27">
        <f>IF($A31="","",SUMPRODUCT(('Quota by Month'!$B$5:$M$5&lt;Setup!$C$7)*('Quota by Month'!$B31:$M31)))</f>
        <v/>
      </c>
      <c r="D31" s="27">
        <f>IF($A31="","",SUMPRODUCT(('Closed Sales'!$B$5:$M$5&lt;Setup!$C$7)*('Closed Sales'!$B31:$M31)))</f>
        <v/>
      </c>
      <c r="E31" s="27">
        <f>IF($A31="","",D31-C31)</f>
        <v/>
      </c>
      <c r="F31" s="29">
        <f>IF(OR($A31="",N(C31)=0),"",D31/C31)</f>
        <v/>
      </c>
      <c r="G31" s="15">
        <f>IF($A31="","",IF(N(C31)=0,"Not started yet",IF(E31&gt;=0,"Ahead by "&amp;TEXT(E31,"$#,##0"),"Behind by "&amp;TEXT(-E31,"$#,##0"))))</f>
        <v/>
      </c>
      <c r="H31" s="27">
        <f>IF($A31="","",INDEX('Quota by Month'!$B31:$M31,Setup!$C$7))</f>
        <v/>
      </c>
      <c r="I31" s="27">
        <f>IF($A31="","",N(INDEX('Closed Sales'!$B31:$M31,Setup!$C$7)))</f>
        <v/>
      </c>
      <c r="J31" s="27">
        <f>IF($A31="","",MAX(0,SUMPRODUCT(('Quota by Month'!$B$5:$M$5&lt;=Setup!$C$7)*('Quota by Month'!$B31:$M31))-D31-I31))</f>
        <v/>
      </c>
      <c r="K31" s="27">
        <f>IF($A31="","",N(Pipeline!$B31)*IF(ISNUMBER(Reps!$H31),Reps!$H31,IF(ISNUMBER(Setup!$C$8),Setup!$C$8,N(Reps!$F31))))</f>
        <v/>
      </c>
      <c r="L31" s="27">
        <f>IF($A31="","",I31+K31)</f>
        <v/>
      </c>
      <c r="M31" s="15">
        <f>IF($A31="","",IF(J31=0,"On track already",IF(K31&gt;=J31,"Covered: pipeline should get there","Short by "&amp;TEXT(J31-K31,"$#,##0")&amp;": add or pull in deals")))</f>
        <v/>
      </c>
    </row>
    <row r="32" ht="30" customHeight="1">
      <c r="A32" s="15">
        <f>IF(Reps!$A32="","",Reps!$A32)</f>
        <v/>
      </c>
      <c r="B32" s="27">
        <f>IF($A32="","",SUM('Quota by Month'!$B32:$M32))</f>
        <v/>
      </c>
      <c r="C32" s="27">
        <f>IF($A32="","",SUMPRODUCT(('Quota by Month'!$B$5:$M$5&lt;Setup!$C$7)*('Quota by Month'!$B32:$M32)))</f>
        <v/>
      </c>
      <c r="D32" s="27">
        <f>IF($A32="","",SUMPRODUCT(('Closed Sales'!$B$5:$M$5&lt;Setup!$C$7)*('Closed Sales'!$B32:$M32)))</f>
        <v/>
      </c>
      <c r="E32" s="27">
        <f>IF($A32="","",D32-C32)</f>
        <v/>
      </c>
      <c r="F32" s="29">
        <f>IF(OR($A32="",N(C32)=0),"",D32/C32)</f>
        <v/>
      </c>
      <c r="G32" s="15">
        <f>IF($A32="","",IF(N(C32)=0,"Not started yet",IF(E32&gt;=0,"Ahead by "&amp;TEXT(E32,"$#,##0"),"Behind by "&amp;TEXT(-E32,"$#,##0"))))</f>
        <v/>
      </c>
      <c r="H32" s="27">
        <f>IF($A32="","",INDEX('Quota by Month'!$B32:$M32,Setup!$C$7))</f>
        <v/>
      </c>
      <c r="I32" s="27">
        <f>IF($A32="","",N(INDEX('Closed Sales'!$B32:$M32,Setup!$C$7)))</f>
        <v/>
      </c>
      <c r="J32" s="27">
        <f>IF($A32="","",MAX(0,SUMPRODUCT(('Quota by Month'!$B$5:$M$5&lt;=Setup!$C$7)*('Quota by Month'!$B32:$M32))-D32-I32))</f>
        <v/>
      </c>
      <c r="K32" s="27">
        <f>IF($A32="","",N(Pipeline!$B32)*IF(ISNUMBER(Reps!$H32),Reps!$H32,IF(ISNUMBER(Setup!$C$8),Setup!$C$8,N(Reps!$F32))))</f>
        <v/>
      </c>
      <c r="L32" s="27">
        <f>IF($A32="","",I32+K32)</f>
        <v/>
      </c>
      <c r="M32" s="15">
        <f>IF($A32="","",IF(J32=0,"On track already",IF(K32&gt;=J32,"Covered: pipeline should get there","Short by "&amp;TEXT(J32-K32,"$#,##0")&amp;": add or pull in deals")))</f>
        <v/>
      </c>
    </row>
    <row r="33" ht="30" customHeight="1">
      <c r="A33" s="15">
        <f>IF(Reps!$A33="","",Reps!$A33)</f>
        <v/>
      </c>
      <c r="B33" s="27">
        <f>IF($A33="","",SUM('Quota by Month'!$B33:$M33))</f>
        <v/>
      </c>
      <c r="C33" s="27">
        <f>IF($A33="","",SUMPRODUCT(('Quota by Month'!$B$5:$M$5&lt;Setup!$C$7)*('Quota by Month'!$B33:$M33)))</f>
        <v/>
      </c>
      <c r="D33" s="27">
        <f>IF($A33="","",SUMPRODUCT(('Closed Sales'!$B$5:$M$5&lt;Setup!$C$7)*('Closed Sales'!$B33:$M33)))</f>
        <v/>
      </c>
      <c r="E33" s="27">
        <f>IF($A33="","",D33-C33)</f>
        <v/>
      </c>
      <c r="F33" s="29">
        <f>IF(OR($A33="",N(C33)=0),"",D33/C33)</f>
        <v/>
      </c>
      <c r="G33" s="15">
        <f>IF($A33="","",IF(N(C33)=0,"Not started yet",IF(E33&gt;=0,"Ahead by "&amp;TEXT(E33,"$#,##0"),"Behind by "&amp;TEXT(-E33,"$#,##0"))))</f>
        <v/>
      </c>
      <c r="H33" s="27">
        <f>IF($A33="","",INDEX('Quota by Month'!$B33:$M33,Setup!$C$7))</f>
        <v/>
      </c>
      <c r="I33" s="27">
        <f>IF($A33="","",N(INDEX('Closed Sales'!$B33:$M33,Setup!$C$7)))</f>
        <v/>
      </c>
      <c r="J33" s="27">
        <f>IF($A33="","",MAX(0,SUMPRODUCT(('Quota by Month'!$B$5:$M$5&lt;=Setup!$C$7)*('Quota by Month'!$B33:$M33))-D33-I33))</f>
        <v/>
      </c>
      <c r="K33" s="27">
        <f>IF($A33="","",N(Pipeline!$B33)*IF(ISNUMBER(Reps!$H33),Reps!$H33,IF(ISNUMBER(Setup!$C$8),Setup!$C$8,N(Reps!$F33))))</f>
        <v/>
      </c>
      <c r="L33" s="27">
        <f>IF($A33="","",I33+K33)</f>
        <v/>
      </c>
      <c r="M33" s="15">
        <f>IF($A33="","",IF(J33=0,"On track already",IF(K33&gt;=J33,"Covered: pipeline should get there","Short by "&amp;TEXT(J33-K33,"$#,##0")&amp;": add or pull in deals")))</f>
        <v/>
      </c>
    </row>
    <row r="34" ht="30" customHeight="1">
      <c r="A34" s="15">
        <f>IF(Reps!$A34="","",Reps!$A34)</f>
        <v/>
      </c>
      <c r="B34" s="27">
        <f>IF($A34="","",SUM('Quota by Month'!$B34:$M34))</f>
        <v/>
      </c>
      <c r="C34" s="27">
        <f>IF($A34="","",SUMPRODUCT(('Quota by Month'!$B$5:$M$5&lt;Setup!$C$7)*('Quota by Month'!$B34:$M34)))</f>
        <v/>
      </c>
      <c r="D34" s="27">
        <f>IF($A34="","",SUMPRODUCT(('Closed Sales'!$B$5:$M$5&lt;Setup!$C$7)*('Closed Sales'!$B34:$M34)))</f>
        <v/>
      </c>
      <c r="E34" s="27">
        <f>IF($A34="","",D34-C34)</f>
        <v/>
      </c>
      <c r="F34" s="29">
        <f>IF(OR($A34="",N(C34)=0),"",D34/C34)</f>
        <v/>
      </c>
      <c r="G34" s="15">
        <f>IF($A34="","",IF(N(C34)=0,"Not started yet",IF(E34&gt;=0,"Ahead by "&amp;TEXT(E34,"$#,##0"),"Behind by "&amp;TEXT(-E34,"$#,##0"))))</f>
        <v/>
      </c>
      <c r="H34" s="27">
        <f>IF($A34="","",INDEX('Quota by Month'!$B34:$M34,Setup!$C$7))</f>
        <v/>
      </c>
      <c r="I34" s="27">
        <f>IF($A34="","",N(INDEX('Closed Sales'!$B34:$M34,Setup!$C$7)))</f>
        <v/>
      </c>
      <c r="J34" s="27">
        <f>IF($A34="","",MAX(0,SUMPRODUCT(('Quota by Month'!$B$5:$M$5&lt;=Setup!$C$7)*('Quota by Month'!$B34:$M34))-D34-I34))</f>
        <v/>
      </c>
      <c r="K34" s="27">
        <f>IF($A34="","",N(Pipeline!$B34)*IF(ISNUMBER(Reps!$H34),Reps!$H34,IF(ISNUMBER(Setup!$C$8),Setup!$C$8,N(Reps!$F34))))</f>
        <v/>
      </c>
      <c r="L34" s="27">
        <f>IF($A34="","",I34+K34)</f>
        <v/>
      </c>
      <c r="M34" s="15">
        <f>IF($A34="","",IF(J34=0,"On track already",IF(K34&gt;=J34,"Covered: pipeline should get there","Short by "&amp;TEXT(J34-K34,"$#,##0")&amp;": add or pull in deals")))</f>
        <v/>
      </c>
    </row>
    <row r="35" ht="30" customHeight="1">
      <c r="A35" s="15">
        <f>IF(Reps!$A35="","",Reps!$A35)</f>
        <v/>
      </c>
      <c r="B35" s="27">
        <f>IF($A35="","",SUM('Quota by Month'!$B35:$M35))</f>
        <v/>
      </c>
      <c r="C35" s="27">
        <f>IF($A35="","",SUMPRODUCT(('Quota by Month'!$B$5:$M$5&lt;Setup!$C$7)*('Quota by Month'!$B35:$M35)))</f>
        <v/>
      </c>
      <c r="D35" s="27">
        <f>IF($A35="","",SUMPRODUCT(('Closed Sales'!$B$5:$M$5&lt;Setup!$C$7)*('Closed Sales'!$B35:$M35)))</f>
        <v/>
      </c>
      <c r="E35" s="27">
        <f>IF($A35="","",D35-C35)</f>
        <v/>
      </c>
      <c r="F35" s="29">
        <f>IF(OR($A35="",N(C35)=0),"",D35/C35)</f>
        <v/>
      </c>
      <c r="G35" s="15">
        <f>IF($A35="","",IF(N(C35)=0,"Not started yet",IF(E35&gt;=0,"Ahead by "&amp;TEXT(E35,"$#,##0"),"Behind by "&amp;TEXT(-E35,"$#,##0"))))</f>
        <v/>
      </c>
      <c r="H35" s="27">
        <f>IF($A35="","",INDEX('Quota by Month'!$B35:$M35,Setup!$C$7))</f>
        <v/>
      </c>
      <c r="I35" s="27">
        <f>IF($A35="","",N(INDEX('Closed Sales'!$B35:$M35,Setup!$C$7)))</f>
        <v/>
      </c>
      <c r="J35" s="27">
        <f>IF($A35="","",MAX(0,SUMPRODUCT(('Quota by Month'!$B$5:$M$5&lt;=Setup!$C$7)*('Quota by Month'!$B35:$M35))-D35-I35))</f>
        <v/>
      </c>
      <c r="K35" s="27">
        <f>IF($A35="","",N(Pipeline!$B35)*IF(ISNUMBER(Reps!$H35),Reps!$H35,IF(ISNUMBER(Setup!$C$8),Setup!$C$8,N(Reps!$F35))))</f>
        <v/>
      </c>
      <c r="L35" s="27">
        <f>IF($A35="","",I35+K35)</f>
        <v/>
      </c>
      <c r="M35" s="15">
        <f>IF($A35="","",IF(J35=0,"On track already",IF(K35&gt;=J35,"Covered: pipeline should get there","Short by "&amp;TEXT(J35-K35,"$#,##0")&amp;": add or pull in deals")))</f>
        <v/>
      </c>
    </row>
    <row r="36" ht="30" customHeight="1">
      <c r="A36" s="15">
        <f>IF(Reps!$A36="","",Reps!$A36)</f>
        <v/>
      </c>
      <c r="B36" s="27">
        <f>IF($A36="","",SUM('Quota by Month'!$B36:$M36))</f>
        <v/>
      </c>
      <c r="C36" s="27">
        <f>IF($A36="","",SUMPRODUCT(('Quota by Month'!$B$5:$M$5&lt;Setup!$C$7)*('Quota by Month'!$B36:$M36)))</f>
        <v/>
      </c>
      <c r="D36" s="27">
        <f>IF($A36="","",SUMPRODUCT(('Closed Sales'!$B$5:$M$5&lt;Setup!$C$7)*('Closed Sales'!$B36:$M36)))</f>
        <v/>
      </c>
      <c r="E36" s="27">
        <f>IF($A36="","",D36-C36)</f>
        <v/>
      </c>
      <c r="F36" s="29">
        <f>IF(OR($A36="",N(C36)=0),"",D36/C36)</f>
        <v/>
      </c>
      <c r="G36" s="15">
        <f>IF($A36="","",IF(N(C36)=0,"Not started yet",IF(E36&gt;=0,"Ahead by "&amp;TEXT(E36,"$#,##0"),"Behind by "&amp;TEXT(-E36,"$#,##0"))))</f>
        <v/>
      </c>
      <c r="H36" s="27">
        <f>IF($A36="","",INDEX('Quota by Month'!$B36:$M36,Setup!$C$7))</f>
        <v/>
      </c>
      <c r="I36" s="27">
        <f>IF($A36="","",N(INDEX('Closed Sales'!$B36:$M36,Setup!$C$7)))</f>
        <v/>
      </c>
      <c r="J36" s="27">
        <f>IF($A36="","",MAX(0,SUMPRODUCT(('Quota by Month'!$B$5:$M$5&lt;=Setup!$C$7)*('Quota by Month'!$B36:$M36))-D36-I36))</f>
        <v/>
      </c>
      <c r="K36" s="27">
        <f>IF($A36="","",N(Pipeline!$B36)*IF(ISNUMBER(Reps!$H36),Reps!$H36,IF(ISNUMBER(Setup!$C$8),Setup!$C$8,N(Reps!$F36))))</f>
        <v/>
      </c>
      <c r="L36" s="27">
        <f>IF($A36="","",I36+K36)</f>
        <v/>
      </c>
      <c r="M36" s="15">
        <f>IF($A36="","",IF(J36=0,"On track already",IF(K36&gt;=J36,"Covered: pipeline should get there","Short by "&amp;TEXT(J36-K36,"$#,##0")&amp;": add or pull in deals")))</f>
        <v/>
      </c>
    </row>
    <row r="37" ht="24" customHeight="1">
      <c r="A37" s="30" t="inlineStr">
        <is>
          <t>Team</t>
        </is>
      </c>
      <c r="B37" s="25">
        <f>SUM(B7:B36)</f>
        <v/>
      </c>
      <c r="C37" s="25">
        <f>SUM(C7:C36)</f>
        <v/>
      </c>
      <c r="D37" s="25">
        <f>SUM(D7:D36)</f>
        <v/>
      </c>
      <c r="E37" s="25">
        <f>SUM(E7:E36)</f>
        <v/>
      </c>
      <c r="F37" s="31">
        <f>IF(C37=0,"",D37/C37)</f>
        <v/>
      </c>
      <c r="H37" s="25">
        <f>SUM(H7:H36)</f>
        <v/>
      </c>
      <c r="I37" s="25">
        <f>SUM(I7:I36)</f>
        <v/>
      </c>
      <c r="J37" s="25">
        <f>SUM(J7:J36)</f>
        <v/>
      </c>
      <c r="K37" s="25">
        <f>SUM(K7:K36)</f>
        <v/>
      </c>
      <c r="L37" s="25">
        <f>SUM(L7:L36)</f>
        <v/>
      </c>
    </row>
  </sheetData>
  <mergeCells count="3">
    <mergeCell ref="A4:M4"/>
    <mergeCell ref="A2:M2"/>
    <mergeCell ref="A1:M1"/>
  </mergeCells>
  <conditionalFormatting sqref="G7:G36">
    <cfRule type="expression" priority="1" dxfId="1" stopIfTrue="1">
      <formula>LEFT(G7,5)="Short"</formula>
    </cfRule>
    <cfRule type="expression" priority="2" dxfId="1" stopIfTrue="1">
      <formula>LEFT(G7,6)="Behind"</formula>
    </cfRule>
    <cfRule type="expression" priority="3" dxfId="2" stopIfTrue="1">
      <formula>OR(LEFT(G7,5)="Ahead",LEFT(G7,7)="Covered",LEFT(G7,5)="On pa")</formula>
    </cfRule>
  </conditionalFormatting>
  <conditionalFormatting sqref="M7:M36">
    <cfRule type="expression" priority="4" dxfId="1" stopIfTrue="1">
      <formula>LEFT(M7,5)="Short"</formula>
    </cfRule>
    <cfRule type="expression" priority="5" dxfId="1" stopIfTrue="1">
      <formula>LEFT(M7,6)="Behind"</formula>
    </cfRule>
    <cfRule type="expression" priority="6" dxfId="2" stopIfTrue="1">
      <formula>OR(LEFT(M7,5)="Ahead",LEFT(M7,7)="Covered",LEFT(M7,5)="On pa")</formula>
    </cfRule>
  </conditionalFormatting>
  <pageMargins left="0.75" right="0.75" top="1" bottom="1" header="0.5" footer="0.5"/>
  <pageSetup orientation="landscape" fitToHeight="0" fitToWidth="1"/>
</worksheet>
</file>

<file path=xl/worksheets/sheet8.xml><?xml version="1.0" encoding="utf-8"?>
<worksheet xmlns="http://schemas.openxmlformats.org/spreadsheetml/2006/main">
  <sheetPr>
    <tabColor rgb="001B2A47"/>
    <outlinePr summaryBelow="1" summaryRight="1"/>
    <pageSetUpPr fitToPage="1"/>
  </sheetPr>
  <dimension ref="A1:M37"/>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18" customWidth="1" min="1" max="1"/>
    <col width="12" customWidth="1" min="2" max="2"/>
    <col width="16" customWidth="1" min="3" max="3"/>
    <col width="18" customWidth="1" min="4" max="4"/>
    <col width="18" customWidth="1" min="5" max="5"/>
    <col width="14" customWidth="1" min="6" max="6"/>
    <col width="13" customWidth="1" min="7" max="7"/>
    <col width="17" customWidth="1" min="8" max="8"/>
    <col width="17" customWidth="1" min="9" max="9"/>
    <col width="17" customWidth="1" min="10" max="10"/>
    <col width="17" customWidth="1" min="11" max="11"/>
    <col width="14" customWidth="1" min="12" max="12"/>
    <col width="28" customWidth="1" min="13" max="13"/>
  </cols>
  <sheetData>
    <row r="1" ht="36" customHeight="1">
      <c r="A1" s="1" t="inlineStr">
        <is>
          <t>Pipeline Builder: how much to add now, so deals are ready in time</t>
        </is>
      </c>
    </row>
    <row r="2" ht="40" customHeight="1">
      <c r="A2" s="2" t="inlineStr">
        <is>
          <t>A deal takes one sales cycle to close, so the opportunities a rep adds this month become the deals that close one cycle from now. This tab sizes them for that month (heavier months need more), and checks the next two months’ pipeline.</t>
        </is>
      </c>
    </row>
    <row r="3" ht="24" customHeight="1">
      <c r="A3" s="3" t="inlineStr">
        <is>
          <t>Color key:</t>
        </is>
      </c>
      <c r="B3" s="4" t="inlineStr">
        <is>
          <t>You type</t>
        </is>
      </c>
      <c r="C3" s="5" t="inlineStr">
        <is>
          <t>Calculated</t>
        </is>
      </c>
      <c r="D3" s="6" t="inlineStr">
        <is>
          <t>🔍 Insight</t>
        </is>
      </c>
    </row>
    <row r="4" ht="52" customHeight="1">
      <c r="A4" s="28">
        <f>IFERROR(IF(SUM(H7:H36)=0,"🔍 Fills in once Reps has quota, deal size, win rate and cycle.","🔍 The team needs to add about "&amp;TEXT(H37,"#,##0")&amp;" new opportunities this month to close on time one sales cycle from now. "&amp;COUNTIF(M7:M36,"Short*")&amp;" reps are short of the pipeline they need for next month. Coverage under 1.0x means the open deals, at your close rate, won’t cover the next two months."),"🔍 Fills in once Reps has quota, deal size, win rate and cycle.")</f>
        <v/>
      </c>
    </row>
    <row r="6" ht="62" customHeight="1">
      <c r="A6" s="17" t="inlineStr">
        <is>
          <t>Rep</t>
        </is>
      </c>
      <c r="B6" s="17" t="inlineStr">
        <is>
          <t>Sales cycle (months)</t>
        </is>
      </c>
      <c r="C6" s="17" t="inlineStr">
        <is>
          <t>New deals added now close in</t>
        </is>
      </c>
      <c r="D6" s="17" t="inlineStr">
        <is>
          <t>Needed in that month (share of what’s left)</t>
        </is>
      </c>
      <c r="E6" s="17" t="inlineStr">
        <is>
          <t>vs. that month’s quota</t>
        </is>
      </c>
      <c r="F6" s="17" t="inlineStr">
        <is>
          <t>Deals needed that month</t>
        </is>
      </c>
      <c r="G6" s="17" t="inlineStr">
        <is>
          <t>Win rate</t>
        </is>
      </c>
      <c r="H6" s="17" t="inlineStr">
        <is>
          <t>New opportunities to add this month</t>
        </is>
      </c>
      <c r="I6" s="17" t="inlineStr">
        <is>
          <t>Next month: needed to stay on track</t>
        </is>
      </c>
      <c r="J6" s="17" t="inlineStr">
        <is>
          <t>Next month: open pipeline needed at close rate</t>
        </is>
      </c>
      <c r="K6" s="17" t="inlineStr">
        <is>
          <t>Next month: still open and due</t>
        </is>
      </c>
      <c r="L6" s="17" t="inlineStr">
        <is>
          <t>Coverage, next 2 months</t>
        </is>
      </c>
      <c r="M6" s="17" t="inlineStr">
        <is>
          <t>Next month</t>
        </is>
      </c>
    </row>
    <row r="7" ht="30" customHeight="1">
      <c r="A7" s="15">
        <f>IF(Reps!$A7="","",Reps!$A7)</f>
        <v/>
      </c>
      <c r="B7" s="18">
        <f>IF($A7="","",N(Reps!$G7))</f>
        <v/>
      </c>
      <c r="C7" s="15">
        <f>IF($A7="","",IF((Setup!$C$7+B7)&gt;12,"Next plan year",IF(B7=0,"This month",INDEX(Setup!$B$11:$B$22,(Setup!$C$7+B7)))))</f>
        <v/>
      </c>
      <c r="D7" s="27">
        <f>IF($A7="","",IF(OR((Setup!$C$7+B7)&gt;12,B7=0,SUMPRODUCT(('Quota by Month'!$B$5:$M$5&gt;Setup!$C$7)*('Quota by Month'!$B7:$M7))=0),"",MAX(0,Pace!$B7-Pace!$D7-Pace!$I7)*INDEX('Quota by Month'!$B7:$M7,(Setup!$C$7+B7))/SUMPRODUCT(('Quota by Month'!$B$5:$M$5&gt;Setup!$C$7)*('Quota by Month'!$B7:$M7))))</f>
        <v/>
      </c>
      <c r="E7" s="15">
        <f>IF(OR($A7="",D7=""),"",IF(INDEX('Quota by Month'!$B7:$M7,(Setup!$C$7+B7))=0,"",IF(ABS(D7/INDEX('Quota by Month'!$B7:$M7,(Setup!$C$7+B7))-1)&lt;0.005,"Same as plan",TEXT(ABS(D7/INDEX('Quota by Month'!$B7:$M7,(Setup!$C$7+B7))-1),"0%")&amp;IF(D7&gt;INDEX('Quota by Month'!$B7:$M7,(Setup!$C$7+B7))," more"," less"))))</f>
        <v/>
      </c>
      <c r="F7" s="32">
        <f>IF(OR($A7="",D7="",N(Reps!$E7)=0),"",D7/Reps!$E7)</f>
        <v/>
      </c>
      <c r="G7" s="29">
        <f>IF($A7="","",N(Reps!$F7))</f>
        <v/>
      </c>
      <c r="H7" s="18">
        <f>IF(OR($A7="",F7="",N(G7)=0),"",ROUNDUP(F7/G7,0))</f>
        <v/>
      </c>
      <c r="I7" s="27">
        <f>IF(OR($A7="",Setup!$C$7&gt;=12),"",MAX(0,SUMPRODUCT(('Quota by Month'!$B$5:$M$5&lt;=Setup!$C$7+1)*('Quota by Month'!$B7:$M7))-Pace!$D7-Pace!$L7))</f>
        <v/>
      </c>
      <c r="J7" s="27">
        <f>IF(OR(I7="",N(I7)&lt;=0),"",I7/MAX(0.01,IF(ISNUMBER(Reps!$H7),Reps!$H7,IF(ISNUMBER(Setup!$C$8),Setup!$C$8,N(Reps!$F7)))))</f>
        <v/>
      </c>
      <c r="K7" s="27">
        <f>IF($A7="","",N(Pipeline!$C7))</f>
        <v/>
      </c>
      <c r="L7" s="33">
        <f>IF(OR($A7="",N(Pace!$J7)+N(I7)=0),"",(N(Pipeline!$B7)+N(Pipeline!$C7))*IF(ISNUMBER(Reps!$H7),Reps!$H7,IF(ISNUMBER(Setup!$C$8),Setup!$C$8,N(Reps!$F7)))/(N(Pace!$J7)+N(I7)))</f>
        <v/>
      </c>
      <c r="M7" s="15">
        <f>IF($A7="","",IF(Setup!$C$7&gt;=12,"Last month of the year",IF(OR(I7="",N(I7)&lt;=0),"On track for next month already",IF(K7&gt;=J7,"Covered","Short by "&amp;TEXT(J7-K7,"$#,##0")&amp;" of pipeline"))))</f>
        <v/>
      </c>
    </row>
    <row r="8" ht="30" customHeight="1">
      <c r="A8" s="15">
        <f>IF(Reps!$A8="","",Reps!$A8)</f>
        <v/>
      </c>
      <c r="B8" s="18">
        <f>IF($A8="","",N(Reps!$G8))</f>
        <v/>
      </c>
      <c r="C8" s="15">
        <f>IF($A8="","",IF((Setup!$C$7+B8)&gt;12,"Next plan year",IF(B8=0,"This month",INDEX(Setup!$B$11:$B$22,(Setup!$C$7+B8)))))</f>
        <v/>
      </c>
      <c r="D8" s="27">
        <f>IF($A8="","",IF(OR((Setup!$C$7+B8)&gt;12,B8=0,SUMPRODUCT(('Quota by Month'!$B$5:$M$5&gt;Setup!$C$7)*('Quota by Month'!$B8:$M8))=0),"",MAX(0,Pace!$B8-Pace!$D8-Pace!$I8)*INDEX('Quota by Month'!$B8:$M8,(Setup!$C$7+B8))/SUMPRODUCT(('Quota by Month'!$B$5:$M$5&gt;Setup!$C$7)*('Quota by Month'!$B8:$M8))))</f>
        <v/>
      </c>
      <c r="E8" s="15">
        <f>IF(OR($A8="",D8=""),"",IF(INDEX('Quota by Month'!$B8:$M8,(Setup!$C$7+B8))=0,"",IF(ABS(D8/INDEX('Quota by Month'!$B8:$M8,(Setup!$C$7+B8))-1)&lt;0.005,"Same as plan",TEXT(ABS(D8/INDEX('Quota by Month'!$B8:$M8,(Setup!$C$7+B8))-1),"0%")&amp;IF(D8&gt;INDEX('Quota by Month'!$B8:$M8,(Setup!$C$7+B8))," more"," less"))))</f>
        <v/>
      </c>
      <c r="F8" s="32">
        <f>IF(OR($A8="",D8="",N(Reps!$E8)=0),"",D8/Reps!$E8)</f>
        <v/>
      </c>
      <c r="G8" s="29">
        <f>IF($A8="","",N(Reps!$F8))</f>
        <v/>
      </c>
      <c r="H8" s="18">
        <f>IF(OR($A8="",F8="",N(G8)=0),"",ROUNDUP(F8/G8,0))</f>
        <v/>
      </c>
      <c r="I8" s="27">
        <f>IF(OR($A8="",Setup!$C$7&gt;=12),"",MAX(0,SUMPRODUCT(('Quota by Month'!$B$5:$M$5&lt;=Setup!$C$7+1)*('Quota by Month'!$B8:$M8))-Pace!$D8-Pace!$L8))</f>
        <v/>
      </c>
      <c r="J8" s="27">
        <f>IF(OR(I8="",N(I8)&lt;=0),"",I8/MAX(0.01,IF(ISNUMBER(Reps!$H8),Reps!$H8,IF(ISNUMBER(Setup!$C$8),Setup!$C$8,N(Reps!$F8)))))</f>
        <v/>
      </c>
      <c r="K8" s="27">
        <f>IF($A8="","",N(Pipeline!$C8))</f>
        <v/>
      </c>
      <c r="L8" s="33">
        <f>IF(OR($A8="",N(Pace!$J8)+N(I8)=0),"",(N(Pipeline!$B8)+N(Pipeline!$C8))*IF(ISNUMBER(Reps!$H8),Reps!$H8,IF(ISNUMBER(Setup!$C$8),Setup!$C$8,N(Reps!$F8)))/(N(Pace!$J8)+N(I8)))</f>
        <v/>
      </c>
      <c r="M8" s="15">
        <f>IF($A8="","",IF(Setup!$C$7&gt;=12,"Last month of the year",IF(OR(I8="",N(I8)&lt;=0),"On track for next month already",IF(K8&gt;=J8,"Covered","Short by "&amp;TEXT(J8-K8,"$#,##0")&amp;" of pipeline"))))</f>
        <v/>
      </c>
    </row>
    <row r="9" ht="30" customHeight="1">
      <c r="A9" s="15">
        <f>IF(Reps!$A9="","",Reps!$A9)</f>
        <v/>
      </c>
      <c r="B9" s="18">
        <f>IF($A9="","",N(Reps!$G9))</f>
        <v/>
      </c>
      <c r="C9" s="15">
        <f>IF($A9="","",IF((Setup!$C$7+B9)&gt;12,"Next plan year",IF(B9=0,"This month",INDEX(Setup!$B$11:$B$22,(Setup!$C$7+B9)))))</f>
        <v/>
      </c>
      <c r="D9" s="27">
        <f>IF($A9="","",IF(OR((Setup!$C$7+B9)&gt;12,B9=0,SUMPRODUCT(('Quota by Month'!$B$5:$M$5&gt;Setup!$C$7)*('Quota by Month'!$B9:$M9))=0),"",MAX(0,Pace!$B9-Pace!$D9-Pace!$I9)*INDEX('Quota by Month'!$B9:$M9,(Setup!$C$7+B9))/SUMPRODUCT(('Quota by Month'!$B$5:$M$5&gt;Setup!$C$7)*('Quota by Month'!$B9:$M9))))</f>
        <v/>
      </c>
      <c r="E9" s="15">
        <f>IF(OR($A9="",D9=""),"",IF(INDEX('Quota by Month'!$B9:$M9,(Setup!$C$7+B9))=0,"",IF(ABS(D9/INDEX('Quota by Month'!$B9:$M9,(Setup!$C$7+B9))-1)&lt;0.005,"Same as plan",TEXT(ABS(D9/INDEX('Quota by Month'!$B9:$M9,(Setup!$C$7+B9))-1),"0%")&amp;IF(D9&gt;INDEX('Quota by Month'!$B9:$M9,(Setup!$C$7+B9))," more"," less"))))</f>
        <v/>
      </c>
      <c r="F9" s="32">
        <f>IF(OR($A9="",D9="",N(Reps!$E9)=0),"",D9/Reps!$E9)</f>
        <v/>
      </c>
      <c r="G9" s="29">
        <f>IF($A9="","",N(Reps!$F9))</f>
        <v/>
      </c>
      <c r="H9" s="18">
        <f>IF(OR($A9="",F9="",N(G9)=0),"",ROUNDUP(F9/G9,0))</f>
        <v/>
      </c>
      <c r="I9" s="27">
        <f>IF(OR($A9="",Setup!$C$7&gt;=12),"",MAX(0,SUMPRODUCT(('Quota by Month'!$B$5:$M$5&lt;=Setup!$C$7+1)*('Quota by Month'!$B9:$M9))-Pace!$D9-Pace!$L9))</f>
        <v/>
      </c>
      <c r="J9" s="27">
        <f>IF(OR(I9="",N(I9)&lt;=0),"",I9/MAX(0.01,IF(ISNUMBER(Reps!$H9),Reps!$H9,IF(ISNUMBER(Setup!$C$8),Setup!$C$8,N(Reps!$F9)))))</f>
        <v/>
      </c>
      <c r="K9" s="27">
        <f>IF($A9="","",N(Pipeline!$C9))</f>
        <v/>
      </c>
      <c r="L9" s="33">
        <f>IF(OR($A9="",N(Pace!$J9)+N(I9)=0),"",(N(Pipeline!$B9)+N(Pipeline!$C9))*IF(ISNUMBER(Reps!$H9),Reps!$H9,IF(ISNUMBER(Setup!$C$8),Setup!$C$8,N(Reps!$F9)))/(N(Pace!$J9)+N(I9)))</f>
        <v/>
      </c>
      <c r="M9" s="15">
        <f>IF($A9="","",IF(Setup!$C$7&gt;=12,"Last month of the year",IF(OR(I9="",N(I9)&lt;=0),"On track for next month already",IF(K9&gt;=J9,"Covered","Short by "&amp;TEXT(J9-K9,"$#,##0")&amp;" of pipeline"))))</f>
        <v/>
      </c>
    </row>
    <row r="10" ht="30" customHeight="1">
      <c r="A10" s="15">
        <f>IF(Reps!$A10="","",Reps!$A10)</f>
        <v/>
      </c>
      <c r="B10" s="18">
        <f>IF($A10="","",N(Reps!$G10))</f>
        <v/>
      </c>
      <c r="C10" s="15">
        <f>IF($A10="","",IF((Setup!$C$7+B10)&gt;12,"Next plan year",IF(B10=0,"This month",INDEX(Setup!$B$11:$B$22,(Setup!$C$7+B10)))))</f>
        <v/>
      </c>
      <c r="D10" s="27">
        <f>IF($A10="","",IF(OR((Setup!$C$7+B10)&gt;12,B10=0,SUMPRODUCT(('Quota by Month'!$B$5:$M$5&gt;Setup!$C$7)*('Quota by Month'!$B10:$M10))=0),"",MAX(0,Pace!$B10-Pace!$D10-Pace!$I10)*INDEX('Quota by Month'!$B10:$M10,(Setup!$C$7+B10))/SUMPRODUCT(('Quota by Month'!$B$5:$M$5&gt;Setup!$C$7)*('Quota by Month'!$B10:$M10))))</f>
        <v/>
      </c>
      <c r="E10" s="15">
        <f>IF(OR($A10="",D10=""),"",IF(INDEX('Quota by Month'!$B10:$M10,(Setup!$C$7+B10))=0,"",IF(ABS(D10/INDEX('Quota by Month'!$B10:$M10,(Setup!$C$7+B10))-1)&lt;0.005,"Same as plan",TEXT(ABS(D10/INDEX('Quota by Month'!$B10:$M10,(Setup!$C$7+B10))-1),"0%")&amp;IF(D10&gt;INDEX('Quota by Month'!$B10:$M10,(Setup!$C$7+B10))," more"," less"))))</f>
        <v/>
      </c>
      <c r="F10" s="32">
        <f>IF(OR($A10="",D10="",N(Reps!$E10)=0),"",D10/Reps!$E10)</f>
        <v/>
      </c>
      <c r="G10" s="29">
        <f>IF($A10="","",N(Reps!$F10))</f>
        <v/>
      </c>
      <c r="H10" s="18">
        <f>IF(OR($A10="",F10="",N(G10)=0),"",ROUNDUP(F10/G10,0))</f>
        <v/>
      </c>
      <c r="I10" s="27">
        <f>IF(OR($A10="",Setup!$C$7&gt;=12),"",MAX(0,SUMPRODUCT(('Quota by Month'!$B$5:$M$5&lt;=Setup!$C$7+1)*('Quota by Month'!$B10:$M10))-Pace!$D10-Pace!$L10))</f>
        <v/>
      </c>
      <c r="J10" s="27">
        <f>IF(OR(I10="",N(I10)&lt;=0),"",I10/MAX(0.01,IF(ISNUMBER(Reps!$H10),Reps!$H10,IF(ISNUMBER(Setup!$C$8),Setup!$C$8,N(Reps!$F10)))))</f>
        <v/>
      </c>
      <c r="K10" s="27">
        <f>IF($A10="","",N(Pipeline!$C10))</f>
        <v/>
      </c>
      <c r="L10" s="33">
        <f>IF(OR($A10="",N(Pace!$J10)+N(I10)=0),"",(N(Pipeline!$B10)+N(Pipeline!$C10))*IF(ISNUMBER(Reps!$H10),Reps!$H10,IF(ISNUMBER(Setup!$C$8),Setup!$C$8,N(Reps!$F10)))/(N(Pace!$J10)+N(I10)))</f>
        <v/>
      </c>
      <c r="M10" s="15">
        <f>IF($A10="","",IF(Setup!$C$7&gt;=12,"Last month of the year",IF(OR(I10="",N(I10)&lt;=0),"On track for next month already",IF(K10&gt;=J10,"Covered","Short by "&amp;TEXT(J10-K10,"$#,##0")&amp;" of pipeline"))))</f>
        <v/>
      </c>
    </row>
    <row r="11" ht="30" customHeight="1">
      <c r="A11" s="15">
        <f>IF(Reps!$A11="","",Reps!$A11)</f>
        <v/>
      </c>
      <c r="B11" s="18">
        <f>IF($A11="","",N(Reps!$G11))</f>
        <v/>
      </c>
      <c r="C11" s="15">
        <f>IF($A11="","",IF((Setup!$C$7+B11)&gt;12,"Next plan year",IF(B11=0,"This month",INDEX(Setup!$B$11:$B$22,(Setup!$C$7+B11)))))</f>
        <v/>
      </c>
      <c r="D11" s="27">
        <f>IF($A11="","",IF(OR((Setup!$C$7+B11)&gt;12,B11=0,SUMPRODUCT(('Quota by Month'!$B$5:$M$5&gt;Setup!$C$7)*('Quota by Month'!$B11:$M11))=0),"",MAX(0,Pace!$B11-Pace!$D11-Pace!$I11)*INDEX('Quota by Month'!$B11:$M11,(Setup!$C$7+B11))/SUMPRODUCT(('Quota by Month'!$B$5:$M$5&gt;Setup!$C$7)*('Quota by Month'!$B11:$M11))))</f>
        <v/>
      </c>
      <c r="E11" s="15">
        <f>IF(OR($A11="",D11=""),"",IF(INDEX('Quota by Month'!$B11:$M11,(Setup!$C$7+B11))=0,"",IF(ABS(D11/INDEX('Quota by Month'!$B11:$M11,(Setup!$C$7+B11))-1)&lt;0.005,"Same as plan",TEXT(ABS(D11/INDEX('Quota by Month'!$B11:$M11,(Setup!$C$7+B11))-1),"0%")&amp;IF(D11&gt;INDEX('Quota by Month'!$B11:$M11,(Setup!$C$7+B11))," more"," less"))))</f>
        <v/>
      </c>
      <c r="F11" s="32">
        <f>IF(OR($A11="",D11="",N(Reps!$E11)=0),"",D11/Reps!$E11)</f>
        <v/>
      </c>
      <c r="G11" s="29">
        <f>IF($A11="","",N(Reps!$F11))</f>
        <v/>
      </c>
      <c r="H11" s="18">
        <f>IF(OR($A11="",F11="",N(G11)=0),"",ROUNDUP(F11/G11,0))</f>
        <v/>
      </c>
      <c r="I11" s="27">
        <f>IF(OR($A11="",Setup!$C$7&gt;=12),"",MAX(0,SUMPRODUCT(('Quota by Month'!$B$5:$M$5&lt;=Setup!$C$7+1)*('Quota by Month'!$B11:$M11))-Pace!$D11-Pace!$L11))</f>
        <v/>
      </c>
      <c r="J11" s="27">
        <f>IF(OR(I11="",N(I11)&lt;=0),"",I11/MAX(0.01,IF(ISNUMBER(Reps!$H11),Reps!$H11,IF(ISNUMBER(Setup!$C$8),Setup!$C$8,N(Reps!$F11)))))</f>
        <v/>
      </c>
      <c r="K11" s="27">
        <f>IF($A11="","",N(Pipeline!$C11))</f>
        <v/>
      </c>
      <c r="L11" s="33">
        <f>IF(OR($A11="",N(Pace!$J11)+N(I11)=0),"",(N(Pipeline!$B11)+N(Pipeline!$C11))*IF(ISNUMBER(Reps!$H11),Reps!$H11,IF(ISNUMBER(Setup!$C$8),Setup!$C$8,N(Reps!$F11)))/(N(Pace!$J11)+N(I11)))</f>
        <v/>
      </c>
      <c r="M11" s="15">
        <f>IF($A11="","",IF(Setup!$C$7&gt;=12,"Last month of the year",IF(OR(I11="",N(I11)&lt;=0),"On track for next month already",IF(K11&gt;=J11,"Covered","Short by "&amp;TEXT(J11-K11,"$#,##0")&amp;" of pipeline"))))</f>
        <v/>
      </c>
    </row>
    <row r="12" ht="30" customHeight="1">
      <c r="A12" s="15">
        <f>IF(Reps!$A12="","",Reps!$A12)</f>
        <v/>
      </c>
      <c r="B12" s="18">
        <f>IF($A12="","",N(Reps!$G12))</f>
        <v/>
      </c>
      <c r="C12" s="15">
        <f>IF($A12="","",IF((Setup!$C$7+B12)&gt;12,"Next plan year",IF(B12=0,"This month",INDEX(Setup!$B$11:$B$22,(Setup!$C$7+B12)))))</f>
        <v/>
      </c>
      <c r="D12" s="27">
        <f>IF($A12="","",IF(OR((Setup!$C$7+B12)&gt;12,B12=0,SUMPRODUCT(('Quota by Month'!$B$5:$M$5&gt;Setup!$C$7)*('Quota by Month'!$B12:$M12))=0),"",MAX(0,Pace!$B12-Pace!$D12-Pace!$I12)*INDEX('Quota by Month'!$B12:$M12,(Setup!$C$7+B12))/SUMPRODUCT(('Quota by Month'!$B$5:$M$5&gt;Setup!$C$7)*('Quota by Month'!$B12:$M12))))</f>
        <v/>
      </c>
      <c r="E12" s="15">
        <f>IF(OR($A12="",D12=""),"",IF(INDEX('Quota by Month'!$B12:$M12,(Setup!$C$7+B12))=0,"",IF(ABS(D12/INDEX('Quota by Month'!$B12:$M12,(Setup!$C$7+B12))-1)&lt;0.005,"Same as plan",TEXT(ABS(D12/INDEX('Quota by Month'!$B12:$M12,(Setup!$C$7+B12))-1),"0%")&amp;IF(D12&gt;INDEX('Quota by Month'!$B12:$M12,(Setup!$C$7+B12))," more"," less"))))</f>
        <v/>
      </c>
      <c r="F12" s="32">
        <f>IF(OR($A12="",D12="",N(Reps!$E12)=0),"",D12/Reps!$E12)</f>
        <v/>
      </c>
      <c r="G12" s="29">
        <f>IF($A12="","",N(Reps!$F12))</f>
        <v/>
      </c>
      <c r="H12" s="18">
        <f>IF(OR($A12="",F12="",N(G12)=0),"",ROUNDUP(F12/G12,0))</f>
        <v/>
      </c>
      <c r="I12" s="27">
        <f>IF(OR($A12="",Setup!$C$7&gt;=12),"",MAX(0,SUMPRODUCT(('Quota by Month'!$B$5:$M$5&lt;=Setup!$C$7+1)*('Quota by Month'!$B12:$M12))-Pace!$D12-Pace!$L12))</f>
        <v/>
      </c>
      <c r="J12" s="27">
        <f>IF(OR(I12="",N(I12)&lt;=0),"",I12/MAX(0.01,IF(ISNUMBER(Reps!$H12),Reps!$H12,IF(ISNUMBER(Setup!$C$8),Setup!$C$8,N(Reps!$F12)))))</f>
        <v/>
      </c>
      <c r="K12" s="27">
        <f>IF($A12="","",N(Pipeline!$C12))</f>
        <v/>
      </c>
      <c r="L12" s="33">
        <f>IF(OR($A12="",N(Pace!$J12)+N(I12)=0),"",(N(Pipeline!$B12)+N(Pipeline!$C12))*IF(ISNUMBER(Reps!$H12),Reps!$H12,IF(ISNUMBER(Setup!$C$8),Setup!$C$8,N(Reps!$F12)))/(N(Pace!$J12)+N(I12)))</f>
        <v/>
      </c>
      <c r="M12" s="15">
        <f>IF($A12="","",IF(Setup!$C$7&gt;=12,"Last month of the year",IF(OR(I12="",N(I12)&lt;=0),"On track for next month already",IF(K12&gt;=J12,"Covered","Short by "&amp;TEXT(J12-K12,"$#,##0")&amp;" of pipeline"))))</f>
        <v/>
      </c>
    </row>
    <row r="13" ht="30" customHeight="1">
      <c r="A13" s="15">
        <f>IF(Reps!$A13="","",Reps!$A13)</f>
        <v/>
      </c>
      <c r="B13" s="18">
        <f>IF($A13="","",N(Reps!$G13))</f>
        <v/>
      </c>
      <c r="C13" s="15">
        <f>IF($A13="","",IF((Setup!$C$7+B13)&gt;12,"Next plan year",IF(B13=0,"This month",INDEX(Setup!$B$11:$B$22,(Setup!$C$7+B13)))))</f>
        <v/>
      </c>
      <c r="D13" s="27">
        <f>IF($A13="","",IF(OR((Setup!$C$7+B13)&gt;12,B13=0,SUMPRODUCT(('Quota by Month'!$B$5:$M$5&gt;Setup!$C$7)*('Quota by Month'!$B13:$M13))=0),"",MAX(0,Pace!$B13-Pace!$D13-Pace!$I13)*INDEX('Quota by Month'!$B13:$M13,(Setup!$C$7+B13))/SUMPRODUCT(('Quota by Month'!$B$5:$M$5&gt;Setup!$C$7)*('Quota by Month'!$B13:$M13))))</f>
        <v/>
      </c>
      <c r="E13" s="15">
        <f>IF(OR($A13="",D13=""),"",IF(INDEX('Quota by Month'!$B13:$M13,(Setup!$C$7+B13))=0,"",IF(ABS(D13/INDEX('Quota by Month'!$B13:$M13,(Setup!$C$7+B13))-1)&lt;0.005,"Same as plan",TEXT(ABS(D13/INDEX('Quota by Month'!$B13:$M13,(Setup!$C$7+B13))-1),"0%")&amp;IF(D13&gt;INDEX('Quota by Month'!$B13:$M13,(Setup!$C$7+B13))," more"," less"))))</f>
        <v/>
      </c>
      <c r="F13" s="32">
        <f>IF(OR($A13="",D13="",N(Reps!$E13)=0),"",D13/Reps!$E13)</f>
        <v/>
      </c>
      <c r="G13" s="29">
        <f>IF($A13="","",N(Reps!$F13))</f>
        <v/>
      </c>
      <c r="H13" s="18">
        <f>IF(OR($A13="",F13="",N(G13)=0),"",ROUNDUP(F13/G13,0))</f>
        <v/>
      </c>
      <c r="I13" s="27">
        <f>IF(OR($A13="",Setup!$C$7&gt;=12),"",MAX(0,SUMPRODUCT(('Quota by Month'!$B$5:$M$5&lt;=Setup!$C$7+1)*('Quota by Month'!$B13:$M13))-Pace!$D13-Pace!$L13))</f>
        <v/>
      </c>
      <c r="J13" s="27">
        <f>IF(OR(I13="",N(I13)&lt;=0),"",I13/MAX(0.01,IF(ISNUMBER(Reps!$H13),Reps!$H13,IF(ISNUMBER(Setup!$C$8),Setup!$C$8,N(Reps!$F13)))))</f>
        <v/>
      </c>
      <c r="K13" s="27">
        <f>IF($A13="","",N(Pipeline!$C13))</f>
        <v/>
      </c>
      <c r="L13" s="33">
        <f>IF(OR($A13="",N(Pace!$J13)+N(I13)=0),"",(N(Pipeline!$B13)+N(Pipeline!$C13))*IF(ISNUMBER(Reps!$H13),Reps!$H13,IF(ISNUMBER(Setup!$C$8),Setup!$C$8,N(Reps!$F13)))/(N(Pace!$J13)+N(I13)))</f>
        <v/>
      </c>
      <c r="M13" s="15">
        <f>IF($A13="","",IF(Setup!$C$7&gt;=12,"Last month of the year",IF(OR(I13="",N(I13)&lt;=0),"On track for next month already",IF(K13&gt;=J13,"Covered","Short by "&amp;TEXT(J13-K13,"$#,##0")&amp;" of pipeline"))))</f>
        <v/>
      </c>
    </row>
    <row r="14" ht="30" customHeight="1">
      <c r="A14" s="15">
        <f>IF(Reps!$A14="","",Reps!$A14)</f>
        <v/>
      </c>
      <c r="B14" s="18">
        <f>IF($A14="","",N(Reps!$G14))</f>
        <v/>
      </c>
      <c r="C14" s="15">
        <f>IF($A14="","",IF((Setup!$C$7+B14)&gt;12,"Next plan year",IF(B14=0,"This month",INDEX(Setup!$B$11:$B$22,(Setup!$C$7+B14)))))</f>
        <v/>
      </c>
      <c r="D14" s="27">
        <f>IF($A14="","",IF(OR((Setup!$C$7+B14)&gt;12,B14=0,SUMPRODUCT(('Quota by Month'!$B$5:$M$5&gt;Setup!$C$7)*('Quota by Month'!$B14:$M14))=0),"",MAX(0,Pace!$B14-Pace!$D14-Pace!$I14)*INDEX('Quota by Month'!$B14:$M14,(Setup!$C$7+B14))/SUMPRODUCT(('Quota by Month'!$B$5:$M$5&gt;Setup!$C$7)*('Quota by Month'!$B14:$M14))))</f>
        <v/>
      </c>
      <c r="E14" s="15">
        <f>IF(OR($A14="",D14=""),"",IF(INDEX('Quota by Month'!$B14:$M14,(Setup!$C$7+B14))=0,"",IF(ABS(D14/INDEX('Quota by Month'!$B14:$M14,(Setup!$C$7+B14))-1)&lt;0.005,"Same as plan",TEXT(ABS(D14/INDEX('Quota by Month'!$B14:$M14,(Setup!$C$7+B14))-1),"0%")&amp;IF(D14&gt;INDEX('Quota by Month'!$B14:$M14,(Setup!$C$7+B14))," more"," less"))))</f>
        <v/>
      </c>
      <c r="F14" s="32">
        <f>IF(OR($A14="",D14="",N(Reps!$E14)=0),"",D14/Reps!$E14)</f>
        <v/>
      </c>
      <c r="G14" s="29">
        <f>IF($A14="","",N(Reps!$F14))</f>
        <v/>
      </c>
      <c r="H14" s="18">
        <f>IF(OR($A14="",F14="",N(G14)=0),"",ROUNDUP(F14/G14,0))</f>
        <v/>
      </c>
      <c r="I14" s="27">
        <f>IF(OR($A14="",Setup!$C$7&gt;=12),"",MAX(0,SUMPRODUCT(('Quota by Month'!$B$5:$M$5&lt;=Setup!$C$7+1)*('Quota by Month'!$B14:$M14))-Pace!$D14-Pace!$L14))</f>
        <v/>
      </c>
      <c r="J14" s="27">
        <f>IF(OR(I14="",N(I14)&lt;=0),"",I14/MAX(0.01,IF(ISNUMBER(Reps!$H14),Reps!$H14,IF(ISNUMBER(Setup!$C$8),Setup!$C$8,N(Reps!$F14)))))</f>
        <v/>
      </c>
      <c r="K14" s="27">
        <f>IF($A14="","",N(Pipeline!$C14))</f>
        <v/>
      </c>
      <c r="L14" s="33">
        <f>IF(OR($A14="",N(Pace!$J14)+N(I14)=0),"",(N(Pipeline!$B14)+N(Pipeline!$C14))*IF(ISNUMBER(Reps!$H14),Reps!$H14,IF(ISNUMBER(Setup!$C$8),Setup!$C$8,N(Reps!$F14)))/(N(Pace!$J14)+N(I14)))</f>
        <v/>
      </c>
      <c r="M14" s="15">
        <f>IF($A14="","",IF(Setup!$C$7&gt;=12,"Last month of the year",IF(OR(I14="",N(I14)&lt;=0),"On track for next month already",IF(K14&gt;=J14,"Covered","Short by "&amp;TEXT(J14-K14,"$#,##0")&amp;" of pipeline"))))</f>
        <v/>
      </c>
    </row>
    <row r="15" ht="30" customHeight="1">
      <c r="A15" s="15">
        <f>IF(Reps!$A15="","",Reps!$A15)</f>
        <v/>
      </c>
      <c r="B15" s="18">
        <f>IF($A15="","",N(Reps!$G15))</f>
        <v/>
      </c>
      <c r="C15" s="15">
        <f>IF($A15="","",IF((Setup!$C$7+B15)&gt;12,"Next plan year",IF(B15=0,"This month",INDEX(Setup!$B$11:$B$22,(Setup!$C$7+B15)))))</f>
        <v/>
      </c>
      <c r="D15" s="27">
        <f>IF($A15="","",IF(OR((Setup!$C$7+B15)&gt;12,B15=0,SUMPRODUCT(('Quota by Month'!$B$5:$M$5&gt;Setup!$C$7)*('Quota by Month'!$B15:$M15))=0),"",MAX(0,Pace!$B15-Pace!$D15-Pace!$I15)*INDEX('Quota by Month'!$B15:$M15,(Setup!$C$7+B15))/SUMPRODUCT(('Quota by Month'!$B$5:$M$5&gt;Setup!$C$7)*('Quota by Month'!$B15:$M15))))</f>
        <v/>
      </c>
      <c r="E15" s="15">
        <f>IF(OR($A15="",D15=""),"",IF(INDEX('Quota by Month'!$B15:$M15,(Setup!$C$7+B15))=0,"",IF(ABS(D15/INDEX('Quota by Month'!$B15:$M15,(Setup!$C$7+B15))-1)&lt;0.005,"Same as plan",TEXT(ABS(D15/INDEX('Quota by Month'!$B15:$M15,(Setup!$C$7+B15))-1),"0%")&amp;IF(D15&gt;INDEX('Quota by Month'!$B15:$M15,(Setup!$C$7+B15))," more"," less"))))</f>
        <v/>
      </c>
      <c r="F15" s="32">
        <f>IF(OR($A15="",D15="",N(Reps!$E15)=0),"",D15/Reps!$E15)</f>
        <v/>
      </c>
      <c r="G15" s="29">
        <f>IF($A15="","",N(Reps!$F15))</f>
        <v/>
      </c>
      <c r="H15" s="18">
        <f>IF(OR($A15="",F15="",N(G15)=0),"",ROUNDUP(F15/G15,0))</f>
        <v/>
      </c>
      <c r="I15" s="27">
        <f>IF(OR($A15="",Setup!$C$7&gt;=12),"",MAX(0,SUMPRODUCT(('Quota by Month'!$B$5:$M$5&lt;=Setup!$C$7+1)*('Quota by Month'!$B15:$M15))-Pace!$D15-Pace!$L15))</f>
        <v/>
      </c>
      <c r="J15" s="27">
        <f>IF(OR(I15="",N(I15)&lt;=0),"",I15/MAX(0.01,IF(ISNUMBER(Reps!$H15),Reps!$H15,IF(ISNUMBER(Setup!$C$8),Setup!$C$8,N(Reps!$F15)))))</f>
        <v/>
      </c>
      <c r="K15" s="27">
        <f>IF($A15="","",N(Pipeline!$C15))</f>
        <v/>
      </c>
      <c r="L15" s="33">
        <f>IF(OR($A15="",N(Pace!$J15)+N(I15)=0),"",(N(Pipeline!$B15)+N(Pipeline!$C15))*IF(ISNUMBER(Reps!$H15),Reps!$H15,IF(ISNUMBER(Setup!$C$8),Setup!$C$8,N(Reps!$F15)))/(N(Pace!$J15)+N(I15)))</f>
        <v/>
      </c>
      <c r="M15" s="15">
        <f>IF($A15="","",IF(Setup!$C$7&gt;=12,"Last month of the year",IF(OR(I15="",N(I15)&lt;=0),"On track for next month already",IF(K15&gt;=J15,"Covered","Short by "&amp;TEXT(J15-K15,"$#,##0")&amp;" of pipeline"))))</f>
        <v/>
      </c>
    </row>
    <row r="16" ht="30" customHeight="1">
      <c r="A16" s="15">
        <f>IF(Reps!$A16="","",Reps!$A16)</f>
        <v/>
      </c>
      <c r="B16" s="18">
        <f>IF($A16="","",N(Reps!$G16))</f>
        <v/>
      </c>
      <c r="C16" s="15">
        <f>IF($A16="","",IF((Setup!$C$7+B16)&gt;12,"Next plan year",IF(B16=0,"This month",INDEX(Setup!$B$11:$B$22,(Setup!$C$7+B16)))))</f>
        <v/>
      </c>
      <c r="D16" s="27">
        <f>IF($A16="","",IF(OR((Setup!$C$7+B16)&gt;12,B16=0,SUMPRODUCT(('Quota by Month'!$B$5:$M$5&gt;Setup!$C$7)*('Quota by Month'!$B16:$M16))=0),"",MAX(0,Pace!$B16-Pace!$D16-Pace!$I16)*INDEX('Quota by Month'!$B16:$M16,(Setup!$C$7+B16))/SUMPRODUCT(('Quota by Month'!$B$5:$M$5&gt;Setup!$C$7)*('Quota by Month'!$B16:$M16))))</f>
        <v/>
      </c>
      <c r="E16" s="15">
        <f>IF(OR($A16="",D16=""),"",IF(INDEX('Quota by Month'!$B16:$M16,(Setup!$C$7+B16))=0,"",IF(ABS(D16/INDEX('Quota by Month'!$B16:$M16,(Setup!$C$7+B16))-1)&lt;0.005,"Same as plan",TEXT(ABS(D16/INDEX('Quota by Month'!$B16:$M16,(Setup!$C$7+B16))-1),"0%")&amp;IF(D16&gt;INDEX('Quota by Month'!$B16:$M16,(Setup!$C$7+B16))," more"," less"))))</f>
        <v/>
      </c>
      <c r="F16" s="32">
        <f>IF(OR($A16="",D16="",N(Reps!$E16)=0),"",D16/Reps!$E16)</f>
        <v/>
      </c>
      <c r="G16" s="29">
        <f>IF($A16="","",N(Reps!$F16))</f>
        <v/>
      </c>
      <c r="H16" s="18">
        <f>IF(OR($A16="",F16="",N(G16)=0),"",ROUNDUP(F16/G16,0))</f>
        <v/>
      </c>
      <c r="I16" s="27">
        <f>IF(OR($A16="",Setup!$C$7&gt;=12),"",MAX(0,SUMPRODUCT(('Quota by Month'!$B$5:$M$5&lt;=Setup!$C$7+1)*('Quota by Month'!$B16:$M16))-Pace!$D16-Pace!$L16))</f>
        <v/>
      </c>
      <c r="J16" s="27">
        <f>IF(OR(I16="",N(I16)&lt;=0),"",I16/MAX(0.01,IF(ISNUMBER(Reps!$H16),Reps!$H16,IF(ISNUMBER(Setup!$C$8),Setup!$C$8,N(Reps!$F16)))))</f>
        <v/>
      </c>
      <c r="K16" s="27">
        <f>IF($A16="","",N(Pipeline!$C16))</f>
        <v/>
      </c>
      <c r="L16" s="33">
        <f>IF(OR($A16="",N(Pace!$J16)+N(I16)=0),"",(N(Pipeline!$B16)+N(Pipeline!$C16))*IF(ISNUMBER(Reps!$H16),Reps!$H16,IF(ISNUMBER(Setup!$C$8),Setup!$C$8,N(Reps!$F16)))/(N(Pace!$J16)+N(I16)))</f>
        <v/>
      </c>
      <c r="M16" s="15">
        <f>IF($A16="","",IF(Setup!$C$7&gt;=12,"Last month of the year",IF(OR(I16="",N(I16)&lt;=0),"On track for next month already",IF(K16&gt;=J16,"Covered","Short by "&amp;TEXT(J16-K16,"$#,##0")&amp;" of pipeline"))))</f>
        <v/>
      </c>
    </row>
    <row r="17" ht="30" customHeight="1">
      <c r="A17" s="15">
        <f>IF(Reps!$A17="","",Reps!$A17)</f>
        <v/>
      </c>
      <c r="B17" s="18">
        <f>IF($A17="","",N(Reps!$G17))</f>
        <v/>
      </c>
      <c r="C17" s="15">
        <f>IF($A17="","",IF((Setup!$C$7+B17)&gt;12,"Next plan year",IF(B17=0,"This month",INDEX(Setup!$B$11:$B$22,(Setup!$C$7+B17)))))</f>
        <v/>
      </c>
      <c r="D17" s="27">
        <f>IF($A17="","",IF(OR((Setup!$C$7+B17)&gt;12,B17=0,SUMPRODUCT(('Quota by Month'!$B$5:$M$5&gt;Setup!$C$7)*('Quota by Month'!$B17:$M17))=0),"",MAX(0,Pace!$B17-Pace!$D17-Pace!$I17)*INDEX('Quota by Month'!$B17:$M17,(Setup!$C$7+B17))/SUMPRODUCT(('Quota by Month'!$B$5:$M$5&gt;Setup!$C$7)*('Quota by Month'!$B17:$M17))))</f>
        <v/>
      </c>
      <c r="E17" s="15">
        <f>IF(OR($A17="",D17=""),"",IF(INDEX('Quota by Month'!$B17:$M17,(Setup!$C$7+B17))=0,"",IF(ABS(D17/INDEX('Quota by Month'!$B17:$M17,(Setup!$C$7+B17))-1)&lt;0.005,"Same as plan",TEXT(ABS(D17/INDEX('Quota by Month'!$B17:$M17,(Setup!$C$7+B17))-1),"0%")&amp;IF(D17&gt;INDEX('Quota by Month'!$B17:$M17,(Setup!$C$7+B17))," more"," less"))))</f>
        <v/>
      </c>
      <c r="F17" s="32">
        <f>IF(OR($A17="",D17="",N(Reps!$E17)=0),"",D17/Reps!$E17)</f>
        <v/>
      </c>
      <c r="G17" s="29">
        <f>IF($A17="","",N(Reps!$F17))</f>
        <v/>
      </c>
      <c r="H17" s="18">
        <f>IF(OR($A17="",F17="",N(G17)=0),"",ROUNDUP(F17/G17,0))</f>
        <v/>
      </c>
      <c r="I17" s="27">
        <f>IF(OR($A17="",Setup!$C$7&gt;=12),"",MAX(0,SUMPRODUCT(('Quota by Month'!$B$5:$M$5&lt;=Setup!$C$7+1)*('Quota by Month'!$B17:$M17))-Pace!$D17-Pace!$L17))</f>
        <v/>
      </c>
      <c r="J17" s="27">
        <f>IF(OR(I17="",N(I17)&lt;=0),"",I17/MAX(0.01,IF(ISNUMBER(Reps!$H17),Reps!$H17,IF(ISNUMBER(Setup!$C$8),Setup!$C$8,N(Reps!$F17)))))</f>
        <v/>
      </c>
      <c r="K17" s="27">
        <f>IF($A17="","",N(Pipeline!$C17))</f>
        <v/>
      </c>
      <c r="L17" s="33">
        <f>IF(OR($A17="",N(Pace!$J17)+N(I17)=0),"",(N(Pipeline!$B17)+N(Pipeline!$C17))*IF(ISNUMBER(Reps!$H17),Reps!$H17,IF(ISNUMBER(Setup!$C$8),Setup!$C$8,N(Reps!$F17)))/(N(Pace!$J17)+N(I17)))</f>
        <v/>
      </c>
      <c r="M17" s="15">
        <f>IF($A17="","",IF(Setup!$C$7&gt;=12,"Last month of the year",IF(OR(I17="",N(I17)&lt;=0),"On track for next month already",IF(K17&gt;=J17,"Covered","Short by "&amp;TEXT(J17-K17,"$#,##0")&amp;" of pipeline"))))</f>
        <v/>
      </c>
    </row>
    <row r="18" ht="30" customHeight="1">
      <c r="A18" s="15">
        <f>IF(Reps!$A18="","",Reps!$A18)</f>
        <v/>
      </c>
      <c r="B18" s="18">
        <f>IF($A18="","",N(Reps!$G18))</f>
        <v/>
      </c>
      <c r="C18" s="15">
        <f>IF($A18="","",IF((Setup!$C$7+B18)&gt;12,"Next plan year",IF(B18=0,"This month",INDEX(Setup!$B$11:$B$22,(Setup!$C$7+B18)))))</f>
        <v/>
      </c>
      <c r="D18" s="27">
        <f>IF($A18="","",IF(OR((Setup!$C$7+B18)&gt;12,B18=0,SUMPRODUCT(('Quota by Month'!$B$5:$M$5&gt;Setup!$C$7)*('Quota by Month'!$B18:$M18))=0),"",MAX(0,Pace!$B18-Pace!$D18-Pace!$I18)*INDEX('Quota by Month'!$B18:$M18,(Setup!$C$7+B18))/SUMPRODUCT(('Quota by Month'!$B$5:$M$5&gt;Setup!$C$7)*('Quota by Month'!$B18:$M18))))</f>
        <v/>
      </c>
      <c r="E18" s="15">
        <f>IF(OR($A18="",D18=""),"",IF(INDEX('Quota by Month'!$B18:$M18,(Setup!$C$7+B18))=0,"",IF(ABS(D18/INDEX('Quota by Month'!$B18:$M18,(Setup!$C$7+B18))-1)&lt;0.005,"Same as plan",TEXT(ABS(D18/INDEX('Quota by Month'!$B18:$M18,(Setup!$C$7+B18))-1),"0%")&amp;IF(D18&gt;INDEX('Quota by Month'!$B18:$M18,(Setup!$C$7+B18))," more"," less"))))</f>
        <v/>
      </c>
      <c r="F18" s="32">
        <f>IF(OR($A18="",D18="",N(Reps!$E18)=0),"",D18/Reps!$E18)</f>
        <v/>
      </c>
      <c r="G18" s="29">
        <f>IF($A18="","",N(Reps!$F18))</f>
        <v/>
      </c>
      <c r="H18" s="18">
        <f>IF(OR($A18="",F18="",N(G18)=0),"",ROUNDUP(F18/G18,0))</f>
        <v/>
      </c>
      <c r="I18" s="27">
        <f>IF(OR($A18="",Setup!$C$7&gt;=12),"",MAX(0,SUMPRODUCT(('Quota by Month'!$B$5:$M$5&lt;=Setup!$C$7+1)*('Quota by Month'!$B18:$M18))-Pace!$D18-Pace!$L18))</f>
        <v/>
      </c>
      <c r="J18" s="27">
        <f>IF(OR(I18="",N(I18)&lt;=0),"",I18/MAX(0.01,IF(ISNUMBER(Reps!$H18),Reps!$H18,IF(ISNUMBER(Setup!$C$8),Setup!$C$8,N(Reps!$F18)))))</f>
        <v/>
      </c>
      <c r="K18" s="27">
        <f>IF($A18="","",N(Pipeline!$C18))</f>
        <v/>
      </c>
      <c r="L18" s="33">
        <f>IF(OR($A18="",N(Pace!$J18)+N(I18)=0),"",(N(Pipeline!$B18)+N(Pipeline!$C18))*IF(ISNUMBER(Reps!$H18),Reps!$H18,IF(ISNUMBER(Setup!$C$8),Setup!$C$8,N(Reps!$F18)))/(N(Pace!$J18)+N(I18)))</f>
        <v/>
      </c>
      <c r="M18" s="15">
        <f>IF($A18="","",IF(Setup!$C$7&gt;=12,"Last month of the year",IF(OR(I18="",N(I18)&lt;=0),"On track for next month already",IF(K18&gt;=J18,"Covered","Short by "&amp;TEXT(J18-K18,"$#,##0")&amp;" of pipeline"))))</f>
        <v/>
      </c>
    </row>
    <row r="19" ht="30" customHeight="1">
      <c r="A19" s="15">
        <f>IF(Reps!$A19="","",Reps!$A19)</f>
        <v/>
      </c>
      <c r="B19" s="18">
        <f>IF($A19="","",N(Reps!$G19))</f>
        <v/>
      </c>
      <c r="C19" s="15">
        <f>IF($A19="","",IF((Setup!$C$7+B19)&gt;12,"Next plan year",IF(B19=0,"This month",INDEX(Setup!$B$11:$B$22,(Setup!$C$7+B19)))))</f>
        <v/>
      </c>
      <c r="D19" s="27">
        <f>IF($A19="","",IF(OR((Setup!$C$7+B19)&gt;12,B19=0,SUMPRODUCT(('Quota by Month'!$B$5:$M$5&gt;Setup!$C$7)*('Quota by Month'!$B19:$M19))=0),"",MAX(0,Pace!$B19-Pace!$D19-Pace!$I19)*INDEX('Quota by Month'!$B19:$M19,(Setup!$C$7+B19))/SUMPRODUCT(('Quota by Month'!$B$5:$M$5&gt;Setup!$C$7)*('Quota by Month'!$B19:$M19))))</f>
        <v/>
      </c>
      <c r="E19" s="15">
        <f>IF(OR($A19="",D19=""),"",IF(INDEX('Quota by Month'!$B19:$M19,(Setup!$C$7+B19))=0,"",IF(ABS(D19/INDEX('Quota by Month'!$B19:$M19,(Setup!$C$7+B19))-1)&lt;0.005,"Same as plan",TEXT(ABS(D19/INDEX('Quota by Month'!$B19:$M19,(Setup!$C$7+B19))-1),"0%")&amp;IF(D19&gt;INDEX('Quota by Month'!$B19:$M19,(Setup!$C$7+B19))," more"," less"))))</f>
        <v/>
      </c>
      <c r="F19" s="32">
        <f>IF(OR($A19="",D19="",N(Reps!$E19)=0),"",D19/Reps!$E19)</f>
        <v/>
      </c>
      <c r="G19" s="29">
        <f>IF($A19="","",N(Reps!$F19))</f>
        <v/>
      </c>
      <c r="H19" s="18">
        <f>IF(OR($A19="",F19="",N(G19)=0),"",ROUNDUP(F19/G19,0))</f>
        <v/>
      </c>
      <c r="I19" s="27">
        <f>IF(OR($A19="",Setup!$C$7&gt;=12),"",MAX(0,SUMPRODUCT(('Quota by Month'!$B$5:$M$5&lt;=Setup!$C$7+1)*('Quota by Month'!$B19:$M19))-Pace!$D19-Pace!$L19))</f>
        <v/>
      </c>
      <c r="J19" s="27">
        <f>IF(OR(I19="",N(I19)&lt;=0),"",I19/MAX(0.01,IF(ISNUMBER(Reps!$H19),Reps!$H19,IF(ISNUMBER(Setup!$C$8),Setup!$C$8,N(Reps!$F19)))))</f>
        <v/>
      </c>
      <c r="K19" s="27">
        <f>IF($A19="","",N(Pipeline!$C19))</f>
        <v/>
      </c>
      <c r="L19" s="33">
        <f>IF(OR($A19="",N(Pace!$J19)+N(I19)=0),"",(N(Pipeline!$B19)+N(Pipeline!$C19))*IF(ISNUMBER(Reps!$H19),Reps!$H19,IF(ISNUMBER(Setup!$C$8),Setup!$C$8,N(Reps!$F19)))/(N(Pace!$J19)+N(I19)))</f>
        <v/>
      </c>
      <c r="M19" s="15">
        <f>IF($A19="","",IF(Setup!$C$7&gt;=12,"Last month of the year",IF(OR(I19="",N(I19)&lt;=0),"On track for next month already",IF(K19&gt;=J19,"Covered","Short by "&amp;TEXT(J19-K19,"$#,##0")&amp;" of pipeline"))))</f>
        <v/>
      </c>
    </row>
    <row r="20" ht="30" customHeight="1">
      <c r="A20" s="15">
        <f>IF(Reps!$A20="","",Reps!$A20)</f>
        <v/>
      </c>
      <c r="B20" s="18">
        <f>IF($A20="","",N(Reps!$G20))</f>
        <v/>
      </c>
      <c r="C20" s="15">
        <f>IF($A20="","",IF((Setup!$C$7+B20)&gt;12,"Next plan year",IF(B20=0,"This month",INDEX(Setup!$B$11:$B$22,(Setup!$C$7+B20)))))</f>
        <v/>
      </c>
      <c r="D20" s="27">
        <f>IF($A20="","",IF(OR((Setup!$C$7+B20)&gt;12,B20=0,SUMPRODUCT(('Quota by Month'!$B$5:$M$5&gt;Setup!$C$7)*('Quota by Month'!$B20:$M20))=0),"",MAX(0,Pace!$B20-Pace!$D20-Pace!$I20)*INDEX('Quota by Month'!$B20:$M20,(Setup!$C$7+B20))/SUMPRODUCT(('Quota by Month'!$B$5:$M$5&gt;Setup!$C$7)*('Quota by Month'!$B20:$M20))))</f>
        <v/>
      </c>
      <c r="E20" s="15">
        <f>IF(OR($A20="",D20=""),"",IF(INDEX('Quota by Month'!$B20:$M20,(Setup!$C$7+B20))=0,"",IF(ABS(D20/INDEX('Quota by Month'!$B20:$M20,(Setup!$C$7+B20))-1)&lt;0.005,"Same as plan",TEXT(ABS(D20/INDEX('Quota by Month'!$B20:$M20,(Setup!$C$7+B20))-1),"0%")&amp;IF(D20&gt;INDEX('Quota by Month'!$B20:$M20,(Setup!$C$7+B20))," more"," less"))))</f>
        <v/>
      </c>
      <c r="F20" s="32">
        <f>IF(OR($A20="",D20="",N(Reps!$E20)=0),"",D20/Reps!$E20)</f>
        <v/>
      </c>
      <c r="G20" s="29">
        <f>IF($A20="","",N(Reps!$F20))</f>
        <v/>
      </c>
      <c r="H20" s="18">
        <f>IF(OR($A20="",F20="",N(G20)=0),"",ROUNDUP(F20/G20,0))</f>
        <v/>
      </c>
      <c r="I20" s="27">
        <f>IF(OR($A20="",Setup!$C$7&gt;=12),"",MAX(0,SUMPRODUCT(('Quota by Month'!$B$5:$M$5&lt;=Setup!$C$7+1)*('Quota by Month'!$B20:$M20))-Pace!$D20-Pace!$L20))</f>
        <v/>
      </c>
      <c r="J20" s="27">
        <f>IF(OR(I20="",N(I20)&lt;=0),"",I20/MAX(0.01,IF(ISNUMBER(Reps!$H20),Reps!$H20,IF(ISNUMBER(Setup!$C$8),Setup!$C$8,N(Reps!$F20)))))</f>
        <v/>
      </c>
      <c r="K20" s="27">
        <f>IF($A20="","",N(Pipeline!$C20))</f>
        <v/>
      </c>
      <c r="L20" s="33">
        <f>IF(OR($A20="",N(Pace!$J20)+N(I20)=0),"",(N(Pipeline!$B20)+N(Pipeline!$C20))*IF(ISNUMBER(Reps!$H20),Reps!$H20,IF(ISNUMBER(Setup!$C$8),Setup!$C$8,N(Reps!$F20)))/(N(Pace!$J20)+N(I20)))</f>
        <v/>
      </c>
      <c r="M20" s="15">
        <f>IF($A20="","",IF(Setup!$C$7&gt;=12,"Last month of the year",IF(OR(I20="",N(I20)&lt;=0),"On track for next month already",IF(K20&gt;=J20,"Covered","Short by "&amp;TEXT(J20-K20,"$#,##0")&amp;" of pipeline"))))</f>
        <v/>
      </c>
    </row>
    <row r="21" ht="30" customHeight="1">
      <c r="A21" s="15">
        <f>IF(Reps!$A21="","",Reps!$A21)</f>
        <v/>
      </c>
      <c r="B21" s="18">
        <f>IF($A21="","",N(Reps!$G21))</f>
        <v/>
      </c>
      <c r="C21" s="15">
        <f>IF($A21="","",IF((Setup!$C$7+B21)&gt;12,"Next plan year",IF(B21=0,"This month",INDEX(Setup!$B$11:$B$22,(Setup!$C$7+B21)))))</f>
        <v/>
      </c>
      <c r="D21" s="27">
        <f>IF($A21="","",IF(OR((Setup!$C$7+B21)&gt;12,B21=0,SUMPRODUCT(('Quota by Month'!$B$5:$M$5&gt;Setup!$C$7)*('Quota by Month'!$B21:$M21))=0),"",MAX(0,Pace!$B21-Pace!$D21-Pace!$I21)*INDEX('Quota by Month'!$B21:$M21,(Setup!$C$7+B21))/SUMPRODUCT(('Quota by Month'!$B$5:$M$5&gt;Setup!$C$7)*('Quota by Month'!$B21:$M21))))</f>
        <v/>
      </c>
      <c r="E21" s="15">
        <f>IF(OR($A21="",D21=""),"",IF(INDEX('Quota by Month'!$B21:$M21,(Setup!$C$7+B21))=0,"",IF(ABS(D21/INDEX('Quota by Month'!$B21:$M21,(Setup!$C$7+B21))-1)&lt;0.005,"Same as plan",TEXT(ABS(D21/INDEX('Quota by Month'!$B21:$M21,(Setup!$C$7+B21))-1),"0%")&amp;IF(D21&gt;INDEX('Quota by Month'!$B21:$M21,(Setup!$C$7+B21))," more"," less"))))</f>
        <v/>
      </c>
      <c r="F21" s="32">
        <f>IF(OR($A21="",D21="",N(Reps!$E21)=0),"",D21/Reps!$E21)</f>
        <v/>
      </c>
      <c r="G21" s="29">
        <f>IF($A21="","",N(Reps!$F21))</f>
        <v/>
      </c>
      <c r="H21" s="18">
        <f>IF(OR($A21="",F21="",N(G21)=0),"",ROUNDUP(F21/G21,0))</f>
        <v/>
      </c>
      <c r="I21" s="27">
        <f>IF(OR($A21="",Setup!$C$7&gt;=12),"",MAX(0,SUMPRODUCT(('Quota by Month'!$B$5:$M$5&lt;=Setup!$C$7+1)*('Quota by Month'!$B21:$M21))-Pace!$D21-Pace!$L21))</f>
        <v/>
      </c>
      <c r="J21" s="27">
        <f>IF(OR(I21="",N(I21)&lt;=0),"",I21/MAX(0.01,IF(ISNUMBER(Reps!$H21),Reps!$H21,IF(ISNUMBER(Setup!$C$8),Setup!$C$8,N(Reps!$F21)))))</f>
        <v/>
      </c>
      <c r="K21" s="27">
        <f>IF($A21="","",N(Pipeline!$C21))</f>
        <v/>
      </c>
      <c r="L21" s="33">
        <f>IF(OR($A21="",N(Pace!$J21)+N(I21)=0),"",(N(Pipeline!$B21)+N(Pipeline!$C21))*IF(ISNUMBER(Reps!$H21),Reps!$H21,IF(ISNUMBER(Setup!$C$8),Setup!$C$8,N(Reps!$F21)))/(N(Pace!$J21)+N(I21)))</f>
        <v/>
      </c>
      <c r="M21" s="15">
        <f>IF($A21="","",IF(Setup!$C$7&gt;=12,"Last month of the year",IF(OR(I21="",N(I21)&lt;=0),"On track for next month already",IF(K21&gt;=J21,"Covered","Short by "&amp;TEXT(J21-K21,"$#,##0")&amp;" of pipeline"))))</f>
        <v/>
      </c>
    </row>
    <row r="22" ht="30" customHeight="1">
      <c r="A22" s="15">
        <f>IF(Reps!$A22="","",Reps!$A22)</f>
        <v/>
      </c>
      <c r="B22" s="18">
        <f>IF($A22="","",N(Reps!$G22))</f>
        <v/>
      </c>
      <c r="C22" s="15">
        <f>IF($A22="","",IF((Setup!$C$7+B22)&gt;12,"Next plan year",IF(B22=0,"This month",INDEX(Setup!$B$11:$B$22,(Setup!$C$7+B22)))))</f>
        <v/>
      </c>
      <c r="D22" s="27">
        <f>IF($A22="","",IF(OR((Setup!$C$7+B22)&gt;12,B22=0,SUMPRODUCT(('Quota by Month'!$B$5:$M$5&gt;Setup!$C$7)*('Quota by Month'!$B22:$M22))=0),"",MAX(0,Pace!$B22-Pace!$D22-Pace!$I22)*INDEX('Quota by Month'!$B22:$M22,(Setup!$C$7+B22))/SUMPRODUCT(('Quota by Month'!$B$5:$M$5&gt;Setup!$C$7)*('Quota by Month'!$B22:$M22))))</f>
        <v/>
      </c>
      <c r="E22" s="15">
        <f>IF(OR($A22="",D22=""),"",IF(INDEX('Quota by Month'!$B22:$M22,(Setup!$C$7+B22))=0,"",IF(ABS(D22/INDEX('Quota by Month'!$B22:$M22,(Setup!$C$7+B22))-1)&lt;0.005,"Same as plan",TEXT(ABS(D22/INDEX('Quota by Month'!$B22:$M22,(Setup!$C$7+B22))-1),"0%")&amp;IF(D22&gt;INDEX('Quota by Month'!$B22:$M22,(Setup!$C$7+B22))," more"," less"))))</f>
        <v/>
      </c>
      <c r="F22" s="32">
        <f>IF(OR($A22="",D22="",N(Reps!$E22)=0),"",D22/Reps!$E22)</f>
        <v/>
      </c>
      <c r="G22" s="29">
        <f>IF($A22="","",N(Reps!$F22))</f>
        <v/>
      </c>
      <c r="H22" s="18">
        <f>IF(OR($A22="",F22="",N(G22)=0),"",ROUNDUP(F22/G22,0))</f>
        <v/>
      </c>
      <c r="I22" s="27">
        <f>IF(OR($A22="",Setup!$C$7&gt;=12),"",MAX(0,SUMPRODUCT(('Quota by Month'!$B$5:$M$5&lt;=Setup!$C$7+1)*('Quota by Month'!$B22:$M22))-Pace!$D22-Pace!$L22))</f>
        <v/>
      </c>
      <c r="J22" s="27">
        <f>IF(OR(I22="",N(I22)&lt;=0),"",I22/MAX(0.01,IF(ISNUMBER(Reps!$H22),Reps!$H22,IF(ISNUMBER(Setup!$C$8),Setup!$C$8,N(Reps!$F22)))))</f>
        <v/>
      </c>
      <c r="K22" s="27">
        <f>IF($A22="","",N(Pipeline!$C22))</f>
        <v/>
      </c>
      <c r="L22" s="33">
        <f>IF(OR($A22="",N(Pace!$J22)+N(I22)=0),"",(N(Pipeline!$B22)+N(Pipeline!$C22))*IF(ISNUMBER(Reps!$H22),Reps!$H22,IF(ISNUMBER(Setup!$C$8),Setup!$C$8,N(Reps!$F22)))/(N(Pace!$J22)+N(I22)))</f>
        <v/>
      </c>
      <c r="M22" s="15">
        <f>IF($A22="","",IF(Setup!$C$7&gt;=12,"Last month of the year",IF(OR(I22="",N(I22)&lt;=0),"On track for next month already",IF(K22&gt;=J22,"Covered","Short by "&amp;TEXT(J22-K22,"$#,##0")&amp;" of pipeline"))))</f>
        <v/>
      </c>
    </row>
    <row r="23" ht="30" customHeight="1">
      <c r="A23" s="15">
        <f>IF(Reps!$A23="","",Reps!$A23)</f>
        <v/>
      </c>
      <c r="B23" s="18">
        <f>IF($A23="","",N(Reps!$G23))</f>
        <v/>
      </c>
      <c r="C23" s="15">
        <f>IF($A23="","",IF((Setup!$C$7+B23)&gt;12,"Next plan year",IF(B23=0,"This month",INDEX(Setup!$B$11:$B$22,(Setup!$C$7+B23)))))</f>
        <v/>
      </c>
      <c r="D23" s="27">
        <f>IF($A23="","",IF(OR((Setup!$C$7+B23)&gt;12,B23=0,SUMPRODUCT(('Quota by Month'!$B$5:$M$5&gt;Setup!$C$7)*('Quota by Month'!$B23:$M23))=0),"",MAX(0,Pace!$B23-Pace!$D23-Pace!$I23)*INDEX('Quota by Month'!$B23:$M23,(Setup!$C$7+B23))/SUMPRODUCT(('Quota by Month'!$B$5:$M$5&gt;Setup!$C$7)*('Quota by Month'!$B23:$M23))))</f>
        <v/>
      </c>
      <c r="E23" s="15">
        <f>IF(OR($A23="",D23=""),"",IF(INDEX('Quota by Month'!$B23:$M23,(Setup!$C$7+B23))=0,"",IF(ABS(D23/INDEX('Quota by Month'!$B23:$M23,(Setup!$C$7+B23))-1)&lt;0.005,"Same as plan",TEXT(ABS(D23/INDEX('Quota by Month'!$B23:$M23,(Setup!$C$7+B23))-1),"0%")&amp;IF(D23&gt;INDEX('Quota by Month'!$B23:$M23,(Setup!$C$7+B23))," more"," less"))))</f>
        <v/>
      </c>
      <c r="F23" s="32">
        <f>IF(OR($A23="",D23="",N(Reps!$E23)=0),"",D23/Reps!$E23)</f>
        <v/>
      </c>
      <c r="G23" s="29">
        <f>IF($A23="","",N(Reps!$F23))</f>
        <v/>
      </c>
      <c r="H23" s="18">
        <f>IF(OR($A23="",F23="",N(G23)=0),"",ROUNDUP(F23/G23,0))</f>
        <v/>
      </c>
      <c r="I23" s="27">
        <f>IF(OR($A23="",Setup!$C$7&gt;=12),"",MAX(0,SUMPRODUCT(('Quota by Month'!$B$5:$M$5&lt;=Setup!$C$7+1)*('Quota by Month'!$B23:$M23))-Pace!$D23-Pace!$L23))</f>
        <v/>
      </c>
      <c r="J23" s="27">
        <f>IF(OR(I23="",N(I23)&lt;=0),"",I23/MAX(0.01,IF(ISNUMBER(Reps!$H23),Reps!$H23,IF(ISNUMBER(Setup!$C$8),Setup!$C$8,N(Reps!$F23)))))</f>
        <v/>
      </c>
      <c r="K23" s="27">
        <f>IF($A23="","",N(Pipeline!$C23))</f>
        <v/>
      </c>
      <c r="L23" s="33">
        <f>IF(OR($A23="",N(Pace!$J23)+N(I23)=0),"",(N(Pipeline!$B23)+N(Pipeline!$C23))*IF(ISNUMBER(Reps!$H23),Reps!$H23,IF(ISNUMBER(Setup!$C$8),Setup!$C$8,N(Reps!$F23)))/(N(Pace!$J23)+N(I23)))</f>
        <v/>
      </c>
      <c r="M23" s="15">
        <f>IF($A23="","",IF(Setup!$C$7&gt;=12,"Last month of the year",IF(OR(I23="",N(I23)&lt;=0),"On track for next month already",IF(K23&gt;=J23,"Covered","Short by "&amp;TEXT(J23-K23,"$#,##0")&amp;" of pipeline"))))</f>
        <v/>
      </c>
    </row>
    <row r="24" ht="30" customHeight="1">
      <c r="A24" s="15">
        <f>IF(Reps!$A24="","",Reps!$A24)</f>
        <v/>
      </c>
      <c r="B24" s="18">
        <f>IF($A24="","",N(Reps!$G24))</f>
        <v/>
      </c>
      <c r="C24" s="15">
        <f>IF($A24="","",IF((Setup!$C$7+B24)&gt;12,"Next plan year",IF(B24=0,"This month",INDEX(Setup!$B$11:$B$22,(Setup!$C$7+B24)))))</f>
        <v/>
      </c>
      <c r="D24" s="27">
        <f>IF($A24="","",IF(OR((Setup!$C$7+B24)&gt;12,B24=0,SUMPRODUCT(('Quota by Month'!$B$5:$M$5&gt;Setup!$C$7)*('Quota by Month'!$B24:$M24))=0),"",MAX(0,Pace!$B24-Pace!$D24-Pace!$I24)*INDEX('Quota by Month'!$B24:$M24,(Setup!$C$7+B24))/SUMPRODUCT(('Quota by Month'!$B$5:$M$5&gt;Setup!$C$7)*('Quota by Month'!$B24:$M24))))</f>
        <v/>
      </c>
      <c r="E24" s="15">
        <f>IF(OR($A24="",D24=""),"",IF(INDEX('Quota by Month'!$B24:$M24,(Setup!$C$7+B24))=0,"",IF(ABS(D24/INDEX('Quota by Month'!$B24:$M24,(Setup!$C$7+B24))-1)&lt;0.005,"Same as plan",TEXT(ABS(D24/INDEX('Quota by Month'!$B24:$M24,(Setup!$C$7+B24))-1),"0%")&amp;IF(D24&gt;INDEX('Quota by Month'!$B24:$M24,(Setup!$C$7+B24))," more"," less"))))</f>
        <v/>
      </c>
      <c r="F24" s="32">
        <f>IF(OR($A24="",D24="",N(Reps!$E24)=0),"",D24/Reps!$E24)</f>
        <v/>
      </c>
      <c r="G24" s="29">
        <f>IF($A24="","",N(Reps!$F24))</f>
        <v/>
      </c>
      <c r="H24" s="18">
        <f>IF(OR($A24="",F24="",N(G24)=0),"",ROUNDUP(F24/G24,0))</f>
        <v/>
      </c>
      <c r="I24" s="27">
        <f>IF(OR($A24="",Setup!$C$7&gt;=12),"",MAX(0,SUMPRODUCT(('Quota by Month'!$B$5:$M$5&lt;=Setup!$C$7+1)*('Quota by Month'!$B24:$M24))-Pace!$D24-Pace!$L24))</f>
        <v/>
      </c>
      <c r="J24" s="27">
        <f>IF(OR(I24="",N(I24)&lt;=0),"",I24/MAX(0.01,IF(ISNUMBER(Reps!$H24),Reps!$H24,IF(ISNUMBER(Setup!$C$8),Setup!$C$8,N(Reps!$F24)))))</f>
        <v/>
      </c>
      <c r="K24" s="27">
        <f>IF($A24="","",N(Pipeline!$C24))</f>
        <v/>
      </c>
      <c r="L24" s="33">
        <f>IF(OR($A24="",N(Pace!$J24)+N(I24)=0),"",(N(Pipeline!$B24)+N(Pipeline!$C24))*IF(ISNUMBER(Reps!$H24),Reps!$H24,IF(ISNUMBER(Setup!$C$8),Setup!$C$8,N(Reps!$F24)))/(N(Pace!$J24)+N(I24)))</f>
        <v/>
      </c>
      <c r="M24" s="15">
        <f>IF($A24="","",IF(Setup!$C$7&gt;=12,"Last month of the year",IF(OR(I24="",N(I24)&lt;=0),"On track for next month already",IF(K24&gt;=J24,"Covered","Short by "&amp;TEXT(J24-K24,"$#,##0")&amp;" of pipeline"))))</f>
        <v/>
      </c>
    </row>
    <row r="25" ht="30" customHeight="1">
      <c r="A25" s="15">
        <f>IF(Reps!$A25="","",Reps!$A25)</f>
        <v/>
      </c>
      <c r="B25" s="18">
        <f>IF($A25="","",N(Reps!$G25))</f>
        <v/>
      </c>
      <c r="C25" s="15">
        <f>IF($A25="","",IF((Setup!$C$7+B25)&gt;12,"Next plan year",IF(B25=0,"This month",INDEX(Setup!$B$11:$B$22,(Setup!$C$7+B25)))))</f>
        <v/>
      </c>
      <c r="D25" s="27">
        <f>IF($A25="","",IF(OR((Setup!$C$7+B25)&gt;12,B25=0,SUMPRODUCT(('Quota by Month'!$B$5:$M$5&gt;Setup!$C$7)*('Quota by Month'!$B25:$M25))=0),"",MAX(0,Pace!$B25-Pace!$D25-Pace!$I25)*INDEX('Quota by Month'!$B25:$M25,(Setup!$C$7+B25))/SUMPRODUCT(('Quota by Month'!$B$5:$M$5&gt;Setup!$C$7)*('Quota by Month'!$B25:$M25))))</f>
        <v/>
      </c>
      <c r="E25" s="15">
        <f>IF(OR($A25="",D25=""),"",IF(INDEX('Quota by Month'!$B25:$M25,(Setup!$C$7+B25))=0,"",IF(ABS(D25/INDEX('Quota by Month'!$B25:$M25,(Setup!$C$7+B25))-1)&lt;0.005,"Same as plan",TEXT(ABS(D25/INDEX('Quota by Month'!$B25:$M25,(Setup!$C$7+B25))-1),"0%")&amp;IF(D25&gt;INDEX('Quota by Month'!$B25:$M25,(Setup!$C$7+B25))," more"," less"))))</f>
        <v/>
      </c>
      <c r="F25" s="32">
        <f>IF(OR($A25="",D25="",N(Reps!$E25)=0),"",D25/Reps!$E25)</f>
        <v/>
      </c>
      <c r="G25" s="29">
        <f>IF($A25="","",N(Reps!$F25))</f>
        <v/>
      </c>
      <c r="H25" s="18">
        <f>IF(OR($A25="",F25="",N(G25)=0),"",ROUNDUP(F25/G25,0))</f>
        <v/>
      </c>
      <c r="I25" s="27">
        <f>IF(OR($A25="",Setup!$C$7&gt;=12),"",MAX(0,SUMPRODUCT(('Quota by Month'!$B$5:$M$5&lt;=Setup!$C$7+1)*('Quota by Month'!$B25:$M25))-Pace!$D25-Pace!$L25))</f>
        <v/>
      </c>
      <c r="J25" s="27">
        <f>IF(OR(I25="",N(I25)&lt;=0),"",I25/MAX(0.01,IF(ISNUMBER(Reps!$H25),Reps!$H25,IF(ISNUMBER(Setup!$C$8),Setup!$C$8,N(Reps!$F25)))))</f>
        <v/>
      </c>
      <c r="K25" s="27">
        <f>IF($A25="","",N(Pipeline!$C25))</f>
        <v/>
      </c>
      <c r="L25" s="33">
        <f>IF(OR($A25="",N(Pace!$J25)+N(I25)=0),"",(N(Pipeline!$B25)+N(Pipeline!$C25))*IF(ISNUMBER(Reps!$H25),Reps!$H25,IF(ISNUMBER(Setup!$C$8),Setup!$C$8,N(Reps!$F25)))/(N(Pace!$J25)+N(I25)))</f>
        <v/>
      </c>
      <c r="M25" s="15">
        <f>IF($A25="","",IF(Setup!$C$7&gt;=12,"Last month of the year",IF(OR(I25="",N(I25)&lt;=0),"On track for next month already",IF(K25&gt;=J25,"Covered","Short by "&amp;TEXT(J25-K25,"$#,##0")&amp;" of pipeline"))))</f>
        <v/>
      </c>
    </row>
    <row r="26" ht="30" customHeight="1">
      <c r="A26" s="15">
        <f>IF(Reps!$A26="","",Reps!$A26)</f>
        <v/>
      </c>
      <c r="B26" s="18">
        <f>IF($A26="","",N(Reps!$G26))</f>
        <v/>
      </c>
      <c r="C26" s="15">
        <f>IF($A26="","",IF((Setup!$C$7+B26)&gt;12,"Next plan year",IF(B26=0,"This month",INDEX(Setup!$B$11:$B$22,(Setup!$C$7+B26)))))</f>
        <v/>
      </c>
      <c r="D26" s="27">
        <f>IF($A26="","",IF(OR((Setup!$C$7+B26)&gt;12,B26=0,SUMPRODUCT(('Quota by Month'!$B$5:$M$5&gt;Setup!$C$7)*('Quota by Month'!$B26:$M26))=0),"",MAX(0,Pace!$B26-Pace!$D26-Pace!$I26)*INDEX('Quota by Month'!$B26:$M26,(Setup!$C$7+B26))/SUMPRODUCT(('Quota by Month'!$B$5:$M$5&gt;Setup!$C$7)*('Quota by Month'!$B26:$M26))))</f>
        <v/>
      </c>
      <c r="E26" s="15">
        <f>IF(OR($A26="",D26=""),"",IF(INDEX('Quota by Month'!$B26:$M26,(Setup!$C$7+B26))=0,"",IF(ABS(D26/INDEX('Quota by Month'!$B26:$M26,(Setup!$C$7+B26))-1)&lt;0.005,"Same as plan",TEXT(ABS(D26/INDEX('Quota by Month'!$B26:$M26,(Setup!$C$7+B26))-1),"0%")&amp;IF(D26&gt;INDEX('Quota by Month'!$B26:$M26,(Setup!$C$7+B26))," more"," less"))))</f>
        <v/>
      </c>
      <c r="F26" s="32">
        <f>IF(OR($A26="",D26="",N(Reps!$E26)=0),"",D26/Reps!$E26)</f>
        <v/>
      </c>
      <c r="G26" s="29">
        <f>IF($A26="","",N(Reps!$F26))</f>
        <v/>
      </c>
      <c r="H26" s="18">
        <f>IF(OR($A26="",F26="",N(G26)=0),"",ROUNDUP(F26/G26,0))</f>
        <v/>
      </c>
      <c r="I26" s="27">
        <f>IF(OR($A26="",Setup!$C$7&gt;=12),"",MAX(0,SUMPRODUCT(('Quota by Month'!$B$5:$M$5&lt;=Setup!$C$7+1)*('Quota by Month'!$B26:$M26))-Pace!$D26-Pace!$L26))</f>
        <v/>
      </c>
      <c r="J26" s="27">
        <f>IF(OR(I26="",N(I26)&lt;=0),"",I26/MAX(0.01,IF(ISNUMBER(Reps!$H26),Reps!$H26,IF(ISNUMBER(Setup!$C$8),Setup!$C$8,N(Reps!$F26)))))</f>
        <v/>
      </c>
      <c r="K26" s="27">
        <f>IF($A26="","",N(Pipeline!$C26))</f>
        <v/>
      </c>
      <c r="L26" s="33">
        <f>IF(OR($A26="",N(Pace!$J26)+N(I26)=0),"",(N(Pipeline!$B26)+N(Pipeline!$C26))*IF(ISNUMBER(Reps!$H26),Reps!$H26,IF(ISNUMBER(Setup!$C$8),Setup!$C$8,N(Reps!$F26)))/(N(Pace!$J26)+N(I26)))</f>
        <v/>
      </c>
      <c r="M26" s="15">
        <f>IF($A26="","",IF(Setup!$C$7&gt;=12,"Last month of the year",IF(OR(I26="",N(I26)&lt;=0),"On track for next month already",IF(K26&gt;=J26,"Covered","Short by "&amp;TEXT(J26-K26,"$#,##0")&amp;" of pipeline"))))</f>
        <v/>
      </c>
    </row>
    <row r="27" ht="30" customHeight="1">
      <c r="A27" s="15">
        <f>IF(Reps!$A27="","",Reps!$A27)</f>
        <v/>
      </c>
      <c r="B27" s="18">
        <f>IF($A27="","",N(Reps!$G27))</f>
        <v/>
      </c>
      <c r="C27" s="15">
        <f>IF($A27="","",IF((Setup!$C$7+B27)&gt;12,"Next plan year",IF(B27=0,"This month",INDEX(Setup!$B$11:$B$22,(Setup!$C$7+B27)))))</f>
        <v/>
      </c>
      <c r="D27" s="27">
        <f>IF($A27="","",IF(OR((Setup!$C$7+B27)&gt;12,B27=0,SUMPRODUCT(('Quota by Month'!$B$5:$M$5&gt;Setup!$C$7)*('Quota by Month'!$B27:$M27))=0),"",MAX(0,Pace!$B27-Pace!$D27-Pace!$I27)*INDEX('Quota by Month'!$B27:$M27,(Setup!$C$7+B27))/SUMPRODUCT(('Quota by Month'!$B$5:$M$5&gt;Setup!$C$7)*('Quota by Month'!$B27:$M27))))</f>
        <v/>
      </c>
      <c r="E27" s="15">
        <f>IF(OR($A27="",D27=""),"",IF(INDEX('Quota by Month'!$B27:$M27,(Setup!$C$7+B27))=0,"",IF(ABS(D27/INDEX('Quota by Month'!$B27:$M27,(Setup!$C$7+B27))-1)&lt;0.005,"Same as plan",TEXT(ABS(D27/INDEX('Quota by Month'!$B27:$M27,(Setup!$C$7+B27))-1),"0%")&amp;IF(D27&gt;INDEX('Quota by Month'!$B27:$M27,(Setup!$C$7+B27))," more"," less"))))</f>
        <v/>
      </c>
      <c r="F27" s="32">
        <f>IF(OR($A27="",D27="",N(Reps!$E27)=0),"",D27/Reps!$E27)</f>
        <v/>
      </c>
      <c r="G27" s="29">
        <f>IF($A27="","",N(Reps!$F27))</f>
        <v/>
      </c>
      <c r="H27" s="18">
        <f>IF(OR($A27="",F27="",N(G27)=0),"",ROUNDUP(F27/G27,0))</f>
        <v/>
      </c>
      <c r="I27" s="27">
        <f>IF(OR($A27="",Setup!$C$7&gt;=12),"",MAX(0,SUMPRODUCT(('Quota by Month'!$B$5:$M$5&lt;=Setup!$C$7+1)*('Quota by Month'!$B27:$M27))-Pace!$D27-Pace!$L27))</f>
        <v/>
      </c>
      <c r="J27" s="27">
        <f>IF(OR(I27="",N(I27)&lt;=0),"",I27/MAX(0.01,IF(ISNUMBER(Reps!$H27),Reps!$H27,IF(ISNUMBER(Setup!$C$8),Setup!$C$8,N(Reps!$F27)))))</f>
        <v/>
      </c>
      <c r="K27" s="27">
        <f>IF($A27="","",N(Pipeline!$C27))</f>
        <v/>
      </c>
      <c r="L27" s="33">
        <f>IF(OR($A27="",N(Pace!$J27)+N(I27)=0),"",(N(Pipeline!$B27)+N(Pipeline!$C27))*IF(ISNUMBER(Reps!$H27),Reps!$H27,IF(ISNUMBER(Setup!$C$8),Setup!$C$8,N(Reps!$F27)))/(N(Pace!$J27)+N(I27)))</f>
        <v/>
      </c>
      <c r="M27" s="15">
        <f>IF($A27="","",IF(Setup!$C$7&gt;=12,"Last month of the year",IF(OR(I27="",N(I27)&lt;=0),"On track for next month already",IF(K27&gt;=J27,"Covered","Short by "&amp;TEXT(J27-K27,"$#,##0")&amp;" of pipeline"))))</f>
        <v/>
      </c>
    </row>
    <row r="28" ht="30" customHeight="1">
      <c r="A28" s="15">
        <f>IF(Reps!$A28="","",Reps!$A28)</f>
        <v/>
      </c>
      <c r="B28" s="18">
        <f>IF($A28="","",N(Reps!$G28))</f>
        <v/>
      </c>
      <c r="C28" s="15">
        <f>IF($A28="","",IF((Setup!$C$7+B28)&gt;12,"Next plan year",IF(B28=0,"This month",INDEX(Setup!$B$11:$B$22,(Setup!$C$7+B28)))))</f>
        <v/>
      </c>
      <c r="D28" s="27">
        <f>IF($A28="","",IF(OR((Setup!$C$7+B28)&gt;12,B28=0,SUMPRODUCT(('Quota by Month'!$B$5:$M$5&gt;Setup!$C$7)*('Quota by Month'!$B28:$M28))=0),"",MAX(0,Pace!$B28-Pace!$D28-Pace!$I28)*INDEX('Quota by Month'!$B28:$M28,(Setup!$C$7+B28))/SUMPRODUCT(('Quota by Month'!$B$5:$M$5&gt;Setup!$C$7)*('Quota by Month'!$B28:$M28))))</f>
        <v/>
      </c>
      <c r="E28" s="15">
        <f>IF(OR($A28="",D28=""),"",IF(INDEX('Quota by Month'!$B28:$M28,(Setup!$C$7+B28))=0,"",IF(ABS(D28/INDEX('Quota by Month'!$B28:$M28,(Setup!$C$7+B28))-1)&lt;0.005,"Same as plan",TEXT(ABS(D28/INDEX('Quota by Month'!$B28:$M28,(Setup!$C$7+B28))-1),"0%")&amp;IF(D28&gt;INDEX('Quota by Month'!$B28:$M28,(Setup!$C$7+B28))," more"," less"))))</f>
        <v/>
      </c>
      <c r="F28" s="32">
        <f>IF(OR($A28="",D28="",N(Reps!$E28)=0),"",D28/Reps!$E28)</f>
        <v/>
      </c>
      <c r="G28" s="29">
        <f>IF($A28="","",N(Reps!$F28))</f>
        <v/>
      </c>
      <c r="H28" s="18">
        <f>IF(OR($A28="",F28="",N(G28)=0),"",ROUNDUP(F28/G28,0))</f>
        <v/>
      </c>
      <c r="I28" s="27">
        <f>IF(OR($A28="",Setup!$C$7&gt;=12),"",MAX(0,SUMPRODUCT(('Quota by Month'!$B$5:$M$5&lt;=Setup!$C$7+1)*('Quota by Month'!$B28:$M28))-Pace!$D28-Pace!$L28))</f>
        <v/>
      </c>
      <c r="J28" s="27">
        <f>IF(OR(I28="",N(I28)&lt;=0),"",I28/MAX(0.01,IF(ISNUMBER(Reps!$H28),Reps!$H28,IF(ISNUMBER(Setup!$C$8),Setup!$C$8,N(Reps!$F28)))))</f>
        <v/>
      </c>
      <c r="K28" s="27">
        <f>IF($A28="","",N(Pipeline!$C28))</f>
        <v/>
      </c>
      <c r="L28" s="33">
        <f>IF(OR($A28="",N(Pace!$J28)+N(I28)=0),"",(N(Pipeline!$B28)+N(Pipeline!$C28))*IF(ISNUMBER(Reps!$H28),Reps!$H28,IF(ISNUMBER(Setup!$C$8),Setup!$C$8,N(Reps!$F28)))/(N(Pace!$J28)+N(I28)))</f>
        <v/>
      </c>
      <c r="M28" s="15">
        <f>IF($A28="","",IF(Setup!$C$7&gt;=12,"Last month of the year",IF(OR(I28="",N(I28)&lt;=0),"On track for next month already",IF(K28&gt;=J28,"Covered","Short by "&amp;TEXT(J28-K28,"$#,##0")&amp;" of pipeline"))))</f>
        <v/>
      </c>
    </row>
    <row r="29" ht="30" customHeight="1">
      <c r="A29" s="15">
        <f>IF(Reps!$A29="","",Reps!$A29)</f>
        <v/>
      </c>
      <c r="B29" s="18">
        <f>IF($A29="","",N(Reps!$G29))</f>
        <v/>
      </c>
      <c r="C29" s="15">
        <f>IF($A29="","",IF((Setup!$C$7+B29)&gt;12,"Next plan year",IF(B29=0,"This month",INDEX(Setup!$B$11:$B$22,(Setup!$C$7+B29)))))</f>
        <v/>
      </c>
      <c r="D29" s="27">
        <f>IF($A29="","",IF(OR((Setup!$C$7+B29)&gt;12,B29=0,SUMPRODUCT(('Quota by Month'!$B$5:$M$5&gt;Setup!$C$7)*('Quota by Month'!$B29:$M29))=0),"",MAX(0,Pace!$B29-Pace!$D29-Pace!$I29)*INDEX('Quota by Month'!$B29:$M29,(Setup!$C$7+B29))/SUMPRODUCT(('Quota by Month'!$B$5:$M$5&gt;Setup!$C$7)*('Quota by Month'!$B29:$M29))))</f>
        <v/>
      </c>
      <c r="E29" s="15">
        <f>IF(OR($A29="",D29=""),"",IF(INDEX('Quota by Month'!$B29:$M29,(Setup!$C$7+B29))=0,"",IF(ABS(D29/INDEX('Quota by Month'!$B29:$M29,(Setup!$C$7+B29))-1)&lt;0.005,"Same as plan",TEXT(ABS(D29/INDEX('Quota by Month'!$B29:$M29,(Setup!$C$7+B29))-1),"0%")&amp;IF(D29&gt;INDEX('Quota by Month'!$B29:$M29,(Setup!$C$7+B29))," more"," less"))))</f>
        <v/>
      </c>
      <c r="F29" s="32">
        <f>IF(OR($A29="",D29="",N(Reps!$E29)=0),"",D29/Reps!$E29)</f>
        <v/>
      </c>
      <c r="G29" s="29">
        <f>IF($A29="","",N(Reps!$F29))</f>
        <v/>
      </c>
      <c r="H29" s="18">
        <f>IF(OR($A29="",F29="",N(G29)=0),"",ROUNDUP(F29/G29,0))</f>
        <v/>
      </c>
      <c r="I29" s="27">
        <f>IF(OR($A29="",Setup!$C$7&gt;=12),"",MAX(0,SUMPRODUCT(('Quota by Month'!$B$5:$M$5&lt;=Setup!$C$7+1)*('Quota by Month'!$B29:$M29))-Pace!$D29-Pace!$L29))</f>
        <v/>
      </c>
      <c r="J29" s="27">
        <f>IF(OR(I29="",N(I29)&lt;=0),"",I29/MAX(0.01,IF(ISNUMBER(Reps!$H29),Reps!$H29,IF(ISNUMBER(Setup!$C$8),Setup!$C$8,N(Reps!$F29)))))</f>
        <v/>
      </c>
      <c r="K29" s="27">
        <f>IF($A29="","",N(Pipeline!$C29))</f>
        <v/>
      </c>
      <c r="L29" s="33">
        <f>IF(OR($A29="",N(Pace!$J29)+N(I29)=0),"",(N(Pipeline!$B29)+N(Pipeline!$C29))*IF(ISNUMBER(Reps!$H29),Reps!$H29,IF(ISNUMBER(Setup!$C$8),Setup!$C$8,N(Reps!$F29)))/(N(Pace!$J29)+N(I29)))</f>
        <v/>
      </c>
      <c r="M29" s="15">
        <f>IF($A29="","",IF(Setup!$C$7&gt;=12,"Last month of the year",IF(OR(I29="",N(I29)&lt;=0),"On track for next month already",IF(K29&gt;=J29,"Covered","Short by "&amp;TEXT(J29-K29,"$#,##0")&amp;" of pipeline"))))</f>
        <v/>
      </c>
    </row>
    <row r="30" ht="30" customHeight="1">
      <c r="A30" s="15">
        <f>IF(Reps!$A30="","",Reps!$A30)</f>
        <v/>
      </c>
      <c r="B30" s="18">
        <f>IF($A30="","",N(Reps!$G30))</f>
        <v/>
      </c>
      <c r="C30" s="15">
        <f>IF($A30="","",IF((Setup!$C$7+B30)&gt;12,"Next plan year",IF(B30=0,"This month",INDEX(Setup!$B$11:$B$22,(Setup!$C$7+B30)))))</f>
        <v/>
      </c>
      <c r="D30" s="27">
        <f>IF($A30="","",IF(OR((Setup!$C$7+B30)&gt;12,B30=0,SUMPRODUCT(('Quota by Month'!$B$5:$M$5&gt;Setup!$C$7)*('Quota by Month'!$B30:$M30))=0),"",MAX(0,Pace!$B30-Pace!$D30-Pace!$I30)*INDEX('Quota by Month'!$B30:$M30,(Setup!$C$7+B30))/SUMPRODUCT(('Quota by Month'!$B$5:$M$5&gt;Setup!$C$7)*('Quota by Month'!$B30:$M30))))</f>
        <v/>
      </c>
      <c r="E30" s="15">
        <f>IF(OR($A30="",D30=""),"",IF(INDEX('Quota by Month'!$B30:$M30,(Setup!$C$7+B30))=0,"",IF(ABS(D30/INDEX('Quota by Month'!$B30:$M30,(Setup!$C$7+B30))-1)&lt;0.005,"Same as plan",TEXT(ABS(D30/INDEX('Quota by Month'!$B30:$M30,(Setup!$C$7+B30))-1),"0%")&amp;IF(D30&gt;INDEX('Quota by Month'!$B30:$M30,(Setup!$C$7+B30))," more"," less"))))</f>
        <v/>
      </c>
      <c r="F30" s="32">
        <f>IF(OR($A30="",D30="",N(Reps!$E30)=0),"",D30/Reps!$E30)</f>
        <v/>
      </c>
      <c r="G30" s="29">
        <f>IF($A30="","",N(Reps!$F30))</f>
        <v/>
      </c>
      <c r="H30" s="18">
        <f>IF(OR($A30="",F30="",N(G30)=0),"",ROUNDUP(F30/G30,0))</f>
        <v/>
      </c>
      <c r="I30" s="27">
        <f>IF(OR($A30="",Setup!$C$7&gt;=12),"",MAX(0,SUMPRODUCT(('Quota by Month'!$B$5:$M$5&lt;=Setup!$C$7+1)*('Quota by Month'!$B30:$M30))-Pace!$D30-Pace!$L30))</f>
        <v/>
      </c>
      <c r="J30" s="27">
        <f>IF(OR(I30="",N(I30)&lt;=0),"",I30/MAX(0.01,IF(ISNUMBER(Reps!$H30),Reps!$H30,IF(ISNUMBER(Setup!$C$8),Setup!$C$8,N(Reps!$F30)))))</f>
        <v/>
      </c>
      <c r="K30" s="27">
        <f>IF($A30="","",N(Pipeline!$C30))</f>
        <v/>
      </c>
      <c r="L30" s="33">
        <f>IF(OR($A30="",N(Pace!$J30)+N(I30)=0),"",(N(Pipeline!$B30)+N(Pipeline!$C30))*IF(ISNUMBER(Reps!$H30),Reps!$H30,IF(ISNUMBER(Setup!$C$8),Setup!$C$8,N(Reps!$F30)))/(N(Pace!$J30)+N(I30)))</f>
        <v/>
      </c>
      <c r="M30" s="15">
        <f>IF($A30="","",IF(Setup!$C$7&gt;=12,"Last month of the year",IF(OR(I30="",N(I30)&lt;=0),"On track for next month already",IF(K30&gt;=J30,"Covered","Short by "&amp;TEXT(J30-K30,"$#,##0")&amp;" of pipeline"))))</f>
        <v/>
      </c>
    </row>
    <row r="31" ht="30" customHeight="1">
      <c r="A31" s="15">
        <f>IF(Reps!$A31="","",Reps!$A31)</f>
        <v/>
      </c>
      <c r="B31" s="18">
        <f>IF($A31="","",N(Reps!$G31))</f>
        <v/>
      </c>
      <c r="C31" s="15">
        <f>IF($A31="","",IF((Setup!$C$7+B31)&gt;12,"Next plan year",IF(B31=0,"This month",INDEX(Setup!$B$11:$B$22,(Setup!$C$7+B31)))))</f>
        <v/>
      </c>
      <c r="D31" s="27">
        <f>IF($A31="","",IF(OR((Setup!$C$7+B31)&gt;12,B31=0,SUMPRODUCT(('Quota by Month'!$B$5:$M$5&gt;Setup!$C$7)*('Quota by Month'!$B31:$M31))=0),"",MAX(0,Pace!$B31-Pace!$D31-Pace!$I31)*INDEX('Quota by Month'!$B31:$M31,(Setup!$C$7+B31))/SUMPRODUCT(('Quota by Month'!$B$5:$M$5&gt;Setup!$C$7)*('Quota by Month'!$B31:$M31))))</f>
        <v/>
      </c>
      <c r="E31" s="15">
        <f>IF(OR($A31="",D31=""),"",IF(INDEX('Quota by Month'!$B31:$M31,(Setup!$C$7+B31))=0,"",IF(ABS(D31/INDEX('Quota by Month'!$B31:$M31,(Setup!$C$7+B31))-1)&lt;0.005,"Same as plan",TEXT(ABS(D31/INDEX('Quota by Month'!$B31:$M31,(Setup!$C$7+B31))-1),"0%")&amp;IF(D31&gt;INDEX('Quota by Month'!$B31:$M31,(Setup!$C$7+B31))," more"," less"))))</f>
        <v/>
      </c>
      <c r="F31" s="32">
        <f>IF(OR($A31="",D31="",N(Reps!$E31)=0),"",D31/Reps!$E31)</f>
        <v/>
      </c>
      <c r="G31" s="29">
        <f>IF($A31="","",N(Reps!$F31))</f>
        <v/>
      </c>
      <c r="H31" s="18">
        <f>IF(OR($A31="",F31="",N(G31)=0),"",ROUNDUP(F31/G31,0))</f>
        <v/>
      </c>
      <c r="I31" s="27">
        <f>IF(OR($A31="",Setup!$C$7&gt;=12),"",MAX(0,SUMPRODUCT(('Quota by Month'!$B$5:$M$5&lt;=Setup!$C$7+1)*('Quota by Month'!$B31:$M31))-Pace!$D31-Pace!$L31))</f>
        <v/>
      </c>
      <c r="J31" s="27">
        <f>IF(OR(I31="",N(I31)&lt;=0),"",I31/MAX(0.01,IF(ISNUMBER(Reps!$H31),Reps!$H31,IF(ISNUMBER(Setup!$C$8),Setup!$C$8,N(Reps!$F31)))))</f>
        <v/>
      </c>
      <c r="K31" s="27">
        <f>IF($A31="","",N(Pipeline!$C31))</f>
        <v/>
      </c>
      <c r="L31" s="33">
        <f>IF(OR($A31="",N(Pace!$J31)+N(I31)=0),"",(N(Pipeline!$B31)+N(Pipeline!$C31))*IF(ISNUMBER(Reps!$H31),Reps!$H31,IF(ISNUMBER(Setup!$C$8),Setup!$C$8,N(Reps!$F31)))/(N(Pace!$J31)+N(I31)))</f>
        <v/>
      </c>
      <c r="M31" s="15">
        <f>IF($A31="","",IF(Setup!$C$7&gt;=12,"Last month of the year",IF(OR(I31="",N(I31)&lt;=0),"On track for next month already",IF(K31&gt;=J31,"Covered","Short by "&amp;TEXT(J31-K31,"$#,##0")&amp;" of pipeline"))))</f>
        <v/>
      </c>
    </row>
    <row r="32" ht="30" customHeight="1">
      <c r="A32" s="15">
        <f>IF(Reps!$A32="","",Reps!$A32)</f>
        <v/>
      </c>
      <c r="B32" s="18">
        <f>IF($A32="","",N(Reps!$G32))</f>
        <v/>
      </c>
      <c r="C32" s="15">
        <f>IF($A32="","",IF((Setup!$C$7+B32)&gt;12,"Next plan year",IF(B32=0,"This month",INDEX(Setup!$B$11:$B$22,(Setup!$C$7+B32)))))</f>
        <v/>
      </c>
      <c r="D32" s="27">
        <f>IF($A32="","",IF(OR((Setup!$C$7+B32)&gt;12,B32=0,SUMPRODUCT(('Quota by Month'!$B$5:$M$5&gt;Setup!$C$7)*('Quota by Month'!$B32:$M32))=0),"",MAX(0,Pace!$B32-Pace!$D32-Pace!$I32)*INDEX('Quota by Month'!$B32:$M32,(Setup!$C$7+B32))/SUMPRODUCT(('Quota by Month'!$B$5:$M$5&gt;Setup!$C$7)*('Quota by Month'!$B32:$M32))))</f>
        <v/>
      </c>
      <c r="E32" s="15">
        <f>IF(OR($A32="",D32=""),"",IF(INDEX('Quota by Month'!$B32:$M32,(Setup!$C$7+B32))=0,"",IF(ABS(D32/INDEX('Quota by Month'!$B32:$M32,(Setup!$C$7+B32))-1)&lt;0.005,"Same as plan",TEXT(ABS(D32/INDEX('Quota by Month'!$B32:$M32,(Setup!$C$7+B32))-1),"0%")&amp;IF(D32&gt;INDEX('Quota by Month'!$B32:$M32,(Setup!$C$7+B32))," more"," less"))))</f>
        <v/>
      </c>
      <c r="F32" s="32">
        <f>IF(OR($A32="",D32="",N(Reps!$E32)=0),"",D32/Reps!$E32)</f>
        <v/>
      </c>
      <c r="G32" s="29">
        <f>IF($A32="","",N(Reps!$F32))</f>
        <v/>
      </c>
      <c r="H32" s="18">
        <f>IF(OR($A32="",F32="",N(G32)=0),"",ROUNDUP(F32/G32,0))</f>
        <v/>
      </c>
      <c r="I32" s="27">
        <f>IF(OR($A32="",Setup!$C$7&gt;=12),"",MAX(0,SUMPRODUCT(('Quota by Month'!$B$5:$M$5&lt;=Setup!$C$7+1)*('Quota by Month'!$B32:$M32))-Pace!$D32-Pace!$L32))</f>
        <v/>
      </c>
      <c r="J32" s="27">
        <f>IF(OR(I32="",N(I32)&lt;=0),"",I32/MAX(0.01,IF(ISNUMBER(Reps!$H32),Reps!$H32,IF(ISNUMBER(Setup!$C$8),Setup!$C$8,N(Reps!$F32)))))</f>
        <v/>
      </c>
      <c r="K32" s="27">
        <f>IF($A32="","",N(Pipeline!$C32))</f>
        <v/>
      </c>
      <c r="L32" s="33">
        <f>IF(OR($A32="",N(Pace!$J32)+N(I32)=0),"",(N(Pipeline!$B32)+N(Pipeline!$C32))*IF(ISNUMBER(Reps!$H32),Reps!$H32,IF(ISNUMBER(Setup!$C$8),Setup!$C$8,N(Reps!$F32)))/(N(Pace!$J32)+N(I32)))</f>
        <v/>
      </c>
      <c r="M32" s="15">
        <f>IF($A32="","",IF(Setup!$C$7&gt;=12,"Last month of the year",IF(OR(I32="",N(I32)&lt;=0),"On track for next month already",IF(K32&gt;=J32,"Covered","Short by "&amp;TEXT(J32-K32,"$#,##0")&amp;" of pipeline"))))</f>
        <v/>
      </c>
    </row>
    <row r="33" ht="30" customHeight="1">
      <c r="A33" s="15">
        <f>IF(Reps!$A33="","",Reps!$A33)</f>
        <v/>
      </c>
      <c r="B33" s="18">
        <f>IF($A33="","",N(Reps!$G33))</f>
        <v/>
      </c>
      <c r="C33" s="15">
        <f>IF($A33="","",IF((Setup!$C$7+B33)&gt;12,"Next plan year",IF(B33=0,"This month",INDEX(Setup!$B$11:$B$22,(Setup!$C$7+B33)))))</f>
        <v/>
      </c>
      <c r="D33" s="27">
        <f>IF($A33="","",IF(OR((Setup!$C$7+B33)&gt;12,B33=0,SUMPRODUCT(('Quota by Month'!$B$5:$M$5&gt;Setup!$C$7)*('Quota by Month'!$B33:$M33))=0),"",MAX(0,Pace!$B33-Pace!$D33-Pace!$I33)*INDEX('Quota by Month'!$B33:$M33,(Setup!$C$7+B33))/SUMPRODUCT(('Quota by Month'!$B$5:$M$5&gt;Setup!$C$7)*('Quota by Month'!$B33:$M33))))</f>
        <v/>
      </c>
      <c r="E33" s="15">
        <f>IF(OR($A33="",D33=""),"",IF(INDEX('Quota by Month'!$B33:$M33,(Setup!$C$7+B33))=0,"",IF(ABS(D33/INDEX('Quota by Month'!$B33:$M33,(Setup!$C$7+B33))-1)&lt;0.005,"Same as plan",TEXT(ABS(D33/INDEX('Quota by Month'!$B33:$M33,(Setup!$C$7+B33))-1),"0%")&amp;IF(D33&gt;INDEX('Quota by Month'!$B33:$M33,(Setup!$C$7+B33))," more"," less"))))</f>
        <v/>
      </c>
      <c r="F33" s="32">
        <f>IF(OR($A33="",D33="",N(Reps!$E33)=0),"",D33/Reps!$E33)</f>
        <v/>
      </c>
      <c r="G33" s="29">
        <f>IF($A33="","",N(Reps!$F33))</f>
        <v/>
      </c>
      <c r="H33" s="18">
        <f>IF(OR($A33="",F33="",N(G33)=0),"",ROUNDUP(F33/G33,0))</f>
        <v/>
      </c>
      <c r="I33" s="27">
        <f>IF(OR($A33="",Setup!$C$7&gt;=12),"",MAX(0,SUMPRODUCT(('Quota by Month'!$B$5:$M$5&lt;=Setup!$C$7+1)*('Quota by Month'!$B33:$M33))-Pace!$D33-Pace!$L33))</f>
        <v/>
      </c>
      <c r="J33" s="27">
        <f>IF(OR(I33="",N(I33)&lt;=0),"",I33/MAX(0.01,IF(ISNUMBER(Reps!$H33),Reps!$H33,IF(ISNUMBER(Setup!$C$8),Setup!$C$8,N(Reps!$F33)))))</f>
        <v/>
      </c>
      <c r="K33" s="27">
        <f>IF($A33="","",N(Pipeline!$C33))</f>
        <v/>
      </c>
      <c r="L33" s="33">
        <f>IF(OR($A33="",N(Pace!$J33)+N(I33)=0),"",(N(Pipeline!$B33)+N(Pipeline!$C33))*IF(ISNUMBER(Reps!$H33),Reps!$H33,IF(ISNUMBER(Setup!$C$8),Setup!$C$8,N(Reps!$F33)))/(N(Pace!$J33)+N(I33)))</f>
        <v/>
      </c>
      <c r="M33" s="15">
        <f>IF($A33="","",IF(Setup!$C$7&gt;=12,"Last month of the year",IF(OR(I33="",N(I33)&lt;=0),"On track for next month already",IF(K33&gt;=J33,"Covered","Short by "&amp;TEXT(J33-K33,"$#,##0")&amp;" of pipeline"))))</f>
        <v/>
      </c>
    </row>
    <row r="34" ht="30" customHeight="1">
      <c r="A34" s="15">
        <f>IF(Reps!$A34="","",Reps!$A34)</f>
        <v/>
      </c>
      <c r="B34" s="18">
        <f>IF($A34="","",N(Reps!$G34))</f>
        <v/>
      </c>
      <c r="C34" s="15">
        <f>IF($A34="","",IF((Setup!$C$7+B34)&gt;12,"Next plan year",IF(B34=0,"This month",INDEX(Setup!$B$11:$B$22,(Setup!$C$7+B34)))))</f>
        <v/>
      </c>
      <c r="D34" s="27">
        <f>IF($A34="","",IF(OR((Setup!$C$7+B34)&gt;12,B34=0,SUMPRODUCT(('Quota by Month'!$B$5:$M$5&gt;Setup!$C$7)*('Quota by Month'!$B34:$M34))=0),"",MAX(0,Pace!$B34-Pace!$D34-Pace!$I34)*INDEX('Quota by Month'!$B34:$M34,(Setup!$C$7+B34))/SUMPRODUCT(('Quota by Month'!$B$5:$M$5&gt;Setup!$C$7)*('Quota by Month'!$B34:$M34))))</f>
        <v/>
      </c>
      <c r="E34" s="15">
        <f>IF(OR($A34="",D34=""),"",IF(INDEX('Quota by Month'!$B34:$M34,(Setup!$C$7+B34))=0,"",IF(ABS(D34/INDEX('Quota by Month'!$B34:$M34,(Setup!$C$7+B34))-1)&lt;0.005,"Same as plan",TEXT(ABS(D34/INDEX('Quota by Month'!$B34:$M34,(Setup!$C$7+B34))-1),"0%")&amp;IF(D34&gt;INDEX('Quota by Month'!$B34:$M34,(Setup!$C$7+B34))," more"," less"))))</f>
        <v/>
      </c>
      <c r="F34" s="32">
        <f>IF(OR($A34="",D34="",N(Reps!$E34)=0),"",D34/Reps!$E34)</f>
        <v/>
      </c>
      <c r="G34" s="29">
        <f>IF($A34="","",N(Reps!$F34))</f>
        <v/>
      </c>
      <c r="H34" s="18">
        <f>IF(OR($A34="",F34="",N(G34)=0),"",ROUNDUP(F34/G34,0))</f>
        <v/>
      </c>
      <c r="I34" s="27">
        <f>IF(OR($A34="",Setup!$C$7&gt;=12),"",MAX(0,SUMPRODUCT(('Quota by Month'!$B$5:$M$5&lt;=Setup!$C$7+1)*('Quota by Month'!$B34:$M34))-Pace!$D34-Pace!$L34))</f>
        <v/>
      </c>
      <c r="J34" s="27">
        <f>IF(OR(I34="",N(I34)&lt;=0),"",I34/MAX(0.01,IF(ISNUMBER(Reps!$H34),Reps!$H34,IF(ISNUMBER(Setup!$C$8),Setup!$C$8,N(Reps!$F34)))))</f>
        <v/>
      </c>
      <c r="K34" s="27">
        <f>IF($A34="","",N(Pipeline!$C34))</f>
        <v/>
      </c>
      <c r="L34" s="33">
        <f>IF(OR($A34="",N(Pace!$J34)+N(I34)=0),"",(N(Pipeline!$B34)+N(Pipeline!$C34))*IF(ISNUMBER(Reps!$H34),Reps!$H34,IF(ISNUMBER(Setup!$C$8),Setup!$C$8,N(Reps!$F34)))/(N(Pace!$J34)+N(I34)))</f>
        <v/>
      </c>
      <c r="M34" s="15">
        <f>IF($A34="","",IF(Setup!$C$7&gt;=12,"Last month of the year",IF(OR(I34="",N(I34)&lt;=0),"On track for next month already",IF(K34&gt;=J34,"Covered","Short by "&amp;TEXT(J34-K34,"$#,##0")&amp;" of pipeline"))))</f>
        <v/>
      </c>
    </row>
    <row r="35" ht="30" customHeight="1">
      <c r="A35" s="15">
        <f>IF(Reps!$A35="","",Reps!$A35)</f>
        <v/>
      </c>
      <c r="B35" s="18">
        <f>IF($A35="","",N(Reps!$G35))</f>
        <v/>
      </c>
      <c r="C35" s="15">
        <f>IF($A35="","",IF((Setup!$C$7+B35)&gt;12,"Next plan year",IF(B35=0,"This month",INDEX(Setup!$B$11:$B$22,(Setup!$C$7+B35)))))</f>
        <v/>
      </c>
      <c r="D35" s="27">
        <f>IF($A35="","",IF(OR((Setup!$C$7+B35)&gt;12,B35=0,SUMPRODUCT(('Quota by Month'!$B$5:$M$5&gt;Setup!$C$7)*('Quota by Month'!$B35:$M35))=0),"",MAX(0,Pace!$B35-Pace!$D35-Pace!$I35)*INDEX('Quota by Month'!$B35:$M35,(Setup!$C$7+B35))/SUMPRODUCT(('Quota by Month'!$B$5:$M$5&gt;Setup!$C$7)*('Quota by Month'!$B35:$M35))))</f>
        <v/>
      </c>
      <c r="E35" s="15">
        <f>IF(OR($A35="",D35=""),"",IF(INDEX('Quota by Month'!$B35:$M35,(Setup!$C$7+B35))=0,"",IF(ABS(D35/INDEX('Quota by Month'!$B35:$M35,(Setup!$C$7+B35))-1)&lt;0.005,"Same as plan",TEXT(ABS(D35/INDEX('Quota by Month'!$B35:$M35,(Setup!$C$7+B35))-1),"0%")&amp;IF(D35&gt;INDEX('Quota by Month'!$B35:$M35,(Setup!$C$7+B35))," more"," less"))))</f>
        <v/>
      </c>
      <c r="F35" s="32">
        <f>IF(OR($A35="",D35="",N(Reps!$E35)=0),"",D35/Reps!$E35)</f>
        <v/>
      </c>
      <c r="G35" s="29">
        <f>IF($A35="","",N(Reps!$F35))</f>
        <v/>
      </c>
      <c r="H35" s="18">
        <f>IF(OR($A35="",F35="",N(G35)=0),"",ROUNDUP(F35/G35,0))</f>
        <v/>
      </c>
      <c r="I35" s="27">
        <f>IF(OR($A35="",Setup!$C$7&gt;=12),"",MAX(0,SUMPRODUCT(('Quota by Month'!$B$5:$M$5&lt;=Setup!$C$7+1)*('Quota by Month'!$B35:$M35))-Pace!$D35-Pace!$L35))</f>
        <v/>
      </c>
      <c r="J35" s="27">
        <f>IF(OR(I35="",N(I35)&lt;=0),"",I35/MAX(0.01,IF(ISNUMBER(Reps!$H35),Reps!$H35,IF(ISNUMBER(Setup!$C$8),Setup!$C$8,N(Reps!$F35)))))</f>
        <v/>
      </c>
      <c r="K35" s="27">
        <f>IF($A35="","",N(Pipeline!$C35))</f>
        <v/>
      </c>
      <c r="L35" s="33">
        <f>IF(OR($A35="",N(Pace!$J35)+N(I35)=0),"",(N(Pipeline!$B35)+N(Pipeline!$C35))*IF(ISNUMBER(Reps!$H35),Reps!$H35,IF(ISNUMBER(Setup!$C$8),Setup!$C$8,N(Reps!$F35)))/(N(Pace!$J35)+N(I35)))</f>
        <v/>
      </c>
      <c r="M35" s="15">
        <f>IF($A35="","",IF(Setup!$C$7&gt;=12,"Last month of the year",IF(OR(I35="",N(I35)&lt;=0),"On track for next month already",IF(K35&gt;=J35,"Covered","Short by "&amp;TEXT(J35-K35,"$#,##0")&amp;" of pipeline"))))</f>
        <v/>
      </c>
    </row>
    <row r="36" ht="30" customHeight="1">
      <c r="A36" s="15">
        <f>IF(Reps!$A36="","",Reps!$A36)</f>
        <v/>
      </c>
      <c r="B36" s="18">
        <f>IF($A36="","",N(Reps!$G36))</f>
        <v/>
      </c>
      <c r="C36" s="15">
        <f>IF($A36="","",IF((Setup!$C$7+B36)&gt;12,"Next plan year",IF(B36=0,"This month",INDEX(Setup!$B$11:$B$22,(Setup!$C$7+B36)))))</f>
        <v/>
      </c>
      <c r="D36" s="27">
        <f>IF($A36="","",IF(OR((Setup!$C$7+B36)&gt;12,B36=0,SUMPRODUCT(('Quota by Month'!$B$5:$M$5&gt;Setup!$C$7)*('Quota by Month'!$B36:$M36))=0),"",MAX(0,Pace!$B36-Pace!$D36-Pace!$I36)*INDEX('Quota by Month'!$B36:$M36,(Setup!$C$7+B36))/SUMPRODUCT(('Quota by Month'!$B$5:$M$5&gt;Setup!$C$7)*('Quota by Month'!$B36:$M36))))</f>
        <v/>
      </c>
      <c r="E36" s="15">
        <f>IF(OR($A36="",D36=""),"",IF(INDEX('Quota by Month'!$B36:$M36,(Setup!$C$7+B36))=0,"",IF(ABS(D36/INDEX('Quota by Month'!$B36:$M36,(Setup!$C$7+B36))-1)&lt;0.005,"Same as plan",TEXT(ABS(D36/INDEX('Quota by Month'!$B36:$M36,(Setup!$C$7+B36))-1),"0%")&amp;IF(D36&gt;INDEX('Quota by Month'!$B36:$M36,(Setup!$C$7+B36))," more"," less"))))</f>
        <v/>
      </c>
      <c r="F36" s="32">
        <f>IF(OR($A36="",D36="",N(Reps!$E36)=0),"",D36/Reps!$E36)</f>
        <v/>
      </c>
      <c r="G36" s="29">
        <f>IF($A36="","",N(Reps!$F36))</f>
        <v/>
      </c>
      <c r="H36" s="18">
        <f>IF(OR($A36="",F36="",N(G36)=0),"",ROUNDUP(F36/G36,0))</f>
        <v/>
      </c>
      <c r="I36" s="27">
        <f>IF(OR($A36="",Setup!$C$7&gt;=12),"",MAX(0,SUMPRODUCT(('Quota by Month'!$B$5:$M$5&lt;=Setup!$C$7+1)*('Quota by Month'!$B36:$M36))-Pace!$D36-Pace!$L36))</f>
        <v/>
      </c>
      <c r="J36" s="27">
        <f>IF(OR(I36="",N(I36)&lt;=0),"",I36/MAX(0.01,IF(ISNUMBER(Reps!$H36),Reps!$H36,IF(ISNUMBER(Setup!$C$8),Setup!$C$8,N(Reps!$F36)))))</f>
        <v/>
      </c>
      <c r="K36" s="27">
        <f>IF($A36="","",N(Pipeline!$C36))</f>
        <v/>
      </c>
      <c r="L36" s="33">
        <f>IF(OR($A36="",N(Pace!$J36)+N(I36)=0),"",(N(Pipeline!$B36)+N(Pipeline!$C36))*IF(ISNUMBER(Reps!$H36),Reps!$H36,IF(ISNUMBER(Setup!$C$8),Setup!$C$8,N(Reps!$F36)))/(N(Pace!$J36)+N(I36)))</f>
        <v/>
      </c>
      <c r="M36" s="15">
        <f>IF($A36="","",IF(Setup!$C$7&gt;=12,"Last month of the year",IF(OR(I36="",N(I36)&lt;=0),"On track for next month already",IF(K36&gt;=J36,"Covered","Short by "&amp;TEXT(J36-K36,"$#,##0")&amp;" of pipeline"))))</f>
        <v/>
      </c>
    </row>
    <row r="37">
      <c r="A37" s="30" t="inlineStr">
        <is>
          <t>Team</t>
        </is>
      </c>
      <c r="D37" s="25">
        <f>SUM(D7:D36)</f>
        <v/>
      </c>
      <c r="H37" s="34">
        <f>SUM(H7:H36)</f>
        <v/>
      </c>
      <c r="I37" s="25">
        <f>SUM(I7:I36)</f>
        <v/>
      </c>
      <c r="J37" s="25">
        <f>SUM(J7:J36)</f>
        <v/>
      </c>
      <c r="K37" s="25">
        <f>SUM(K7:K36)</f>
        <v/>
      </c>
    </row>
  </sheetData>
  <mergeCells count="3">
    <mergeCell ref="A4:M4"/>
    <mergeCell ref="A2:M2"/>
    <mergeCell ref="A1:M1"/>
  </mergeCells>
  <conditionalFormatting sqref="M7:M36">
    <cfRule type="expression" priority="1" dxfId="1" stopIfTrue="1">
      <formula>LEFT(M7,5)="Short"</formula>
    </cfRule>
    <cfRule type="expression" priority="2" dxfId="1" stopIfTrue="1">
      <formula>LEFT(M7,6)="Behind"</formula>
    </cfRule>
    <cfRule type="expression" priority="3" dxfId="2" stopIfTrue="1">
      <formula>OR(LEFT(M7,5)="Ahead",LEFT(M7,7)="Covered",LEFT(M7,5)="On pa")</formula>
    </cfRule>
  </conditionalFormatting>
  <pageMargins left="0.75" right="0.75" top="1" bottom="1" header="0.5" footer="0.5"/>
  <pageSetup orientation="landscape" fitToHeight="0" fitToWidth="1"/>
</worksheet>
</file>

<file path=xl/worksheets/sheet9.xml><?xml version="1.0" encoding="utf-8"?>
<worksheet xmlns="http://schemas.openxmlformats.org/spreadsheetml/2006/main">
  <sheetPr>
    <tabColor rgb="001B2A47"/>
    <outlinePr summaryBelow="1" summaryRight="1"/>
    <pageSetUpPr fitToPage="1"/>
  </sheetPr>
  <dimension ref="A1:G24"/>
  <sheetViews>
    <sheetView showGridLines="0" workbookViewId="0">
      <pane ySplit="6" topLeftCell="A7" activePane="bottomLeft" state="frozen"/>
      <selection pane="bottomLeft" activeCell="A1" sqref="A1"/>
    </sheetView>
  </sheetViews>
  <sheetFormatPr baseColWidth="8" defaultRowHeight="15"/>
  <cols>
    <col width="20" customWidth="1" min="1" max="1"/>
    <col width="18" customWidth="1" min="2" max="2"/>
    <col width="18" customWidth="1" min="3" max="3"/>
    <col width="18" customWidth="1" min="4" max="4"/>
    <col width="18" customWidth="1" min="5" max="5"/>
    <col width="18" customWidth="1" min="6" max="6"/>
    <col width="24" customWidth="1" min="7" max="7"/>
  </cols>
  <sheetData>
    <row r="1" ht="36" customHeight="1">
      <c r="A1" s="1" t="inlineStr">
        <is>
          <t>Team: the whole year, by month and by quarter</t>
        </is>
      </c>
    </row>
    <row r="2" ht="46" customHeight="1">
      <c r="A2" s="2" t="inlineStr">
        <is>
          <t>Target is the sum of Quota by Month. Actual counts finished months and what is closed so far this month.</t>
        </is>
      </c>
    </row>
    <row r="3" ht="24" customHeight="1">
      <c r="A3" s="3" t="inlineStr">
        <is>
          <t>Color key:</t>
        </is>
      </c>
      <c r="B3" s="4" t="inlineStr">
        <is>
          <t>You type</t>
        </is>
      </c>
      <c r="C3" s="5" t="inlineStr">
        <is>
          <t>Calculated</t>
        </is>
      </c>
      <c r="D3" s="6" t="inlineStr">
        <is>
          <t>🔍 Insight</t>
        </is>
      </c>
    </row>
    <row r="6" ht="48" customHeight="1">
      <c r="A6" s="17" t="inlineStr">
        <is>
          <t>Month</t>
        </is>
      </c>
      <c r="B6" s="17" t="inlineStr">
        <is>
          <t>Target</t>
        </is>
      </c>
      <c r="C6" s="17" t="inlineStr">
        <is>
          <t>Actual</t>
        </is>
      </c>
      <c r="D6" s="17" t="inlineStr">
        <is>
          <t>Target so far</t>
        </is>
      </c>
      <c r="E6" s="17" t="inlineStr">
        <is>
          <t>Actual so far</t>
        </is>
      </c>
      <c r="F6" s="17" t="inlineStr">
        <is>
          <t>Ahead (+) or behind (−)</t>
        </is>
      </c>
      <c r="G6" s="17" t="inlineStr">
        <is>
          <t>Status</t>
        </is>
      </c>
    </row>
    <row r="7" ht="21" customHeight="1">
      <c r="A7" s="15">
        <f>Setup!$B$11</f>
        <v/>
      </c>
      <c r="B7" s="27">
        <f>SUM('Quota by Month'!B7:B36)</f>
        <v/>
      </c>
      <c r="C7" s="27">
        <f>IF(1&gt;Setup!$C$7,NA(),SUM('Closed Sales'!B7:B36))</f>
        <v/>
      </c>
      <c r="D7" s="27">
        <f>SUM($B$7:B7)</f>
        <v/>
      </c>
      <c r="E7" s="27">
        <f>IF(1&gt;Setup!$C$7,NA(),SUM('Closed Sales'!$B$7:B36))</f>
        <v/>
      </c>
      <c r="F7" s="27">
        <f>IF(1&gt;=Setup!$C$7,"",E7-D7)</f>
        <v/>
      </c>
      <c r="G7" s="15">
        <f>IF(1&gt;Setup!$C$7,"",IF(1=Setup!$C$7,"This month, so far",IF(F7&gt;=0,"Ahead","Behind")))</f>
        <v/>
      </c>
    </row>
    <row r="8" ht="21" customHeight="1">
      <c r="A8" s="15">
        <f>Setup!$B$12</f>
        <v/>
      </c>
      <c r="B8" s="27">
        <f>SUM('Quota by Month'!C7:C36)</f>
        <v/>
      </c>
      <c r="C8" s="27">
        <f>IF(2&gt;Setup!$C$7,NA(),SUM('Closed Sales'!C7:C36))</f>
        <v/>
      </c>
      <c r="D8" s="27">
        <f>SUM($B$7:B8)</f>
        <v/>
      </c>
      <c r="E8" s="27">
        <f>IF(2&gt;Setup!$C$7,NA(),SUM('Closed Sales'!$B$7:C36))</f>
        <v/>
      </c>
      <c r="F8" s="27">
        <f>IF(2&gt;=Setup!$C$7,"",E8-D8)</f>
        <v/>
      </c>
      <c r="G8" s="15">
        <f>IF(2&gt;Setup!$C$7,"",IF(2=Setup!$C$7,"This month, so far",IF(F8&gt;=0,"Ahead","Behind")))</f>
        <v/>
      </c>
    </row>
    <row r="9" ht="21" customHeight="1">
      <c r="A9" s="15">
        <f>Setup!$B$13</f>
        <v/>
      </c>
      <c r="B9" s="27">
        <f>SUM('Quota by Month'!D7:D36)</f>
        <v/>
      </c>
      <c r="C9" s="27">
        <f>IF(3&gt;Setup!$C$7,NA(),SUM('Closed Sales'!D7:D36))</f>
        <v/>
      </c>
      <c r="D9" s="27">
        <f>SUM($B$7:B9)</f>
        <v/>
      </c>
      <c r="E9" s="27">
        <f>IF(3&gt;Setup!$C$7,NA(),SUM('Closed Sales'!$B$7:D36))</f>
        <v/>
      </c>
      <c r="F9" s="27">
        <f>IF(3&gt;=Setup!$C$7,"",E9-D9)</f>
        <v/>
      </c>
      <c r="G9" s="15">
        <f>IF(3&gt;Setup!$C$7,"",IF(3=Setup!$C$7,"This month, so far",IF(F9&gt;=0,"Ahead","Behind")))</f>
        <v/>
      </c>
    </row>
    <row r="10" ht="21" customHeight="1">
      <c r="A10" s="15">
        <f>Setup!$B$14</f>
        <v/>
      </c>
      <c r="B10" s="27">
        <f>SUM('Quota by Month'!E7:E36)</f>
        <v/>
      </c>
      <c r="C10" s="27">
        <f>IF(4&gt;Setup!$C$7,NA(),SUM('Closed Sales'!E7:E36))</f>
        <v/>
      </c>
      <c r="D10" s="27">
        <f>SUM($B$7:B10)</f>
        <v/>
      </c>
      <c r="E10" s="27">
        <f>IF(4&gt;Setup!$C$7,NA(),SUM('Closed Sales'!$B$7:E36))</f>
        <v/>
      </c>
      <c r="F10" s="27">
        <f>IF(4&gt;=Setup!$C$7,"",E10-D10)</f>
        <v/>
      </c>
      <c r="G10" s="15">
        <f>IF(4&gt;Setup!$C$7,"",IF(4=Setup!$C$7,"This month, so far",IF(F10&gt;=0,"Ahead","Behind")))</f>
        <v/>
      </c>
    </row>
    <row r="11" ht="21" customHeight="1">
      <c r="A11" s="15">
        <f>Setup!$B$15</f>
        <v/>
      </c>
      <c r="B11" s="27">
        <f>SUM('Quota by Month'!F7:F36)</f>
        <v/>
      </c>
      <c r="C11" s="27">
        <f>IF(5&gt;Setup!$C$7,NA(),SUM('Closed Sales'!F7:F36))</f>
        <v/>
      </c>
      <c r="D11" s="27">
        <f>SUM($B$7:B11)</f>
        <v/>
      </c>
      <c r="E11" s="27">
        <f>IF(5&gt;Setup!$C$7,NA(),SUM('Closed Sales'!$B$7:F36))</f>
        <v/>
      </c>
      <c r="F11" s="27">
        <f>IF(5&gt;=Setup!$C$7,"",E11-D11)</f>
        <v/>
      </c>
      <c r="G11" s="15">
        <f>IF(5&gt;Setup!$C$7,"",IF(5=Setup!$C$7,"This month, so far",IF(F11&gt;=0,"Ahead","Behind")))</f>
        <v/>
      </c>
    </row>
    <row r="12" ht="21" customHeight="1">
      <c r="A12" s="15">
        <f>Setup!$B$16</f>
        <v/>
      </c>
      <c r="B12" s="27">
        <f>SUM('Quota by Month'!G7:G36)</f>
        <v/>
      </c>
      <c r="C12" s="27">
        <f>IF(6&gt;Setup!$C$7,NA(),SUM('Closed Sales'!G7:G36))</f>
        <v/>
      </c>
      <c r="D12" s="27">
        <f>SUM($B$7:B12)</f>
        <v/>
      </c>
      <c r="E12" s="27">
        <f>IF(6&gt;Setup!$C$7,NA(),SUM('Closed Sales'!$B$7:G36))</f>
        <v/>
      </c>
      <c r="F12" s="27">
        <f>IF(6&gt;=Setup!$C$7,"",E12-D12)</f>
        <v/>
      </c>
      <c r="G12" s="15">
        <f>IF(6&gt;Setup!$C$7,"",IF(6=Setup!$C$7,"This month, so far",IF(F12&gt;=0,"Ahead","Behind")))</f>
        <v/>
      </c>
    </row>
    <row r="13" ht="21" customHeight="1">
      <c r="A13" s="15">
        <f>Setup!$B$17</f>
        <v/>
      </c>
      <c r="B13" s="27">
        <f>SUM('Quota by Month'!H7:H36)</f>
        <v/>
      </c>
      <c r="C13" s="27">
        <f>IF(7&gt;Setup!$C$7,NA(),SUM('Closed Sales'!H7:H36))</f>
        <v/>
      </c>
      <c r="D13" s="27">
        <f>SUM($B$7:B13)</f>
        <v/>
      </c>
      <c r="E13" s="27">
        <f>IF(7&gt;Setup!$C$7,NA(),SUM('Closed Sales'!$B$7:H36))</f>
        <v/>
      </c>
      <c r="F13" s="27">
        <f>IF(7&gt;=Setup!$C$7,"",E13-D13)</f>
        <v/>
      </c>
      <c r="G13" s="15">
        <f>IF(7&gt;Setup!$C$7,"",IF(7=Setup!$C$7,"This month, so far",IF(F13&gt;=0,"Ahead","Behind")))</f>
        <v/>
      </c>
    </row>
    <row r="14" ht="21" customHeight="1">
      <c r="A14" s="15">
        <f>Setup!$B$18</f>
        <v/>
      </c>
      <c r="B14" s="27">
        <f>SUM('Quota by Month'!I7:I36)</f>
        <v/>
      </c>
      <c r="C14" s="27">
        <f>IF(8&gt;Setup!$C$7,NA(),SUM('Closed Sales'!I7:I36))</f>
        <v/>
      </c>
      <c r="D14" s="27">
        <f>SUM($B$7:B14)</f>
        <v/>
      </c>
      <c r="E14" s="27">
        <f>IF(8&gt;Setup!$C$7,NA(),SUM('Closed Sales'!$B$7:I36))</f>
        <v/>
      </c>
      <c r="F14" s="27">
        <f>IF(8&gt;=Setup!$C$7,"",E14-D14)</f>
        <v/>
      </c>
      <c r="G14" s="15">
        <f>IF(8&gt;Setup!$C$7,"",IF(8=Setup!$C$7,"This month, so far",IF(F14&gt;=0,"Ahead","Behind")))</f>
        <v/>
      </c>
    </row>
    <row r="15" ht="21" customHeight="1">
      <c r="A15" s="15">
        <f>Setup!$B$19</f>
        <v/>
      </c>
      <c r="B15" s="27">
        <f>SUM('Quota by Month'!J7:J36)</f>
        <v/>
      </c>
      <c r="C15" s="27">
        <f>IF(9&gt;Setup!$C$7,NA(),SUM('Closed Sales'!J7:J36))</f>
        <v/>
      </c>
      <c r="D15" s="27">
        <f>SUM($B$7:B15)</f>
        <v/>
      </c>
      <c r="E15" s="27">
        <f>IF(9&gt;Setup!$C$7,NA(),SUM('Closed Sales'!$B$7:J36))</f>
        <v/>
      </c>
      <c r="F15" s="27">
        <f>IF(9&gt;=Setup!$C$7,"",E15-D15)</f>
        <v/>
      </c>
      <c r="G15" s="15">
        <f>IF(9&gt;Setup!$C$7,"",IF(9=Setup!$C$7,"This month, so far",IF(F15&gt;=0,"Ahead","Behind")))</f>
        <v/>
      </c>
    </row>
    <row r="16" ht="21" customHeight="1">
      <c r="A16" s="15">
        <f>Setup!$B$20</f>
        <v/>
      </c>
      <c r="B16" s="27">
        <f>SUM('Quota by Month'!K7:K36)</f>
        <v/>
      </c>
      <c r="C16" s="27">
        <f>IF(10&gt;Setup!$C$7,NA(),SUM('Closed Sales'!K7:K36))</f>
        <v/>
      </c>
      <c r="D16" s="27">
        <f>SUM($B$7:B16)</f>
        <v/>
      </c>
      <c r="E16" s="27">
        <f>IF(10&gt;Setup!$C$7,NA(),SUM('Closed Sales'!$B$7:K36))</f>
        <v/>
      </c>
      <c r="F16" s="27">
        <f>IF(10&gt;=Setup!$C$7,"",E16-D16)</f>
        <v/>
      </c>
      <c r="G16" s="15">
        <f>IF(10&gt;Setup!$C$7,"",IF(10=Setup!$C$7,"This month, so far",IF(F16&gt;=0,"Ahead","Behind")))</f>
        <v/>
      </c>
    </row>
    <row r="17" ht="21" customHeight="1">
      <c r="A17" s="15">
        <f>Setup!$B$21</f>
        <v/>
      </c>
      <c r="B17" s="27">
        <f>SUM('Quota by Month'!L7:L36)</f>
        <v/>
      </c>
      <c r="C17" s="27">
        <f>IF(11&gt;Setup!$C$7,NA(),SUM('Closed Sales'!L7:L36))</f>
        <v/>
      </c>
      <c r="D17" s="27">
        <f>SUM($B$7:B17)</f>
        <v/>
      </c>
      <c r="E17" s="27">
        <f>IF(11&gt;Setup!$C$7,NA(),SUM('Closed Sales'!$B$7:L36))</f>
        <v/>
      </c>
      <c r="F17" s="27">
        <f>IF(11&gt;=Setup!$C$7,"",E17-D17)</f>
        <v/>
      </c>
      <c r="G17" s="15">
        <f>IF(11&gt;Setup!$C$7,"",IF(11=Setup!$C$7,"This month, so far",IF(F17&gt;=0,"Ahead","Behind")))</f>
        <v/>
      </c>
    </row>
    <row r="18" ht="21" customHeight="1">
      <c r="A18" s="15">
        <f>Setup!$B$22</f>
        <v/>
      </c>
      <c r="B18" s="27">
        <f>SUM('Quota by Month'!M7:M36)</f>
        <v/>
      </c>
      <c r="C18" s="27">
        <f>IF(12&gt;Setup!$C$7,NA(),SUM('Closed Sales'!M7:M36))</f>
        <v/>
      </c>
      <c r="D18" s="27">
        <f>SUM($B$7:B18)</f>
        <v/>
      </c>
      <c r="E18" s="27">
        <f>IF(12&gt;Setup!$C$7,NA(),SUM('Closed Sales'!$B$7:M36))</f>
        <v/>
      </c>
      <c r="F18" s="27">
        <f>IF(12&gt;=Setup!$C$7,"",E18-D18)</f>
        <v/>
      </c>
      <c r="G18" s="15">
        <f>IF(12&gt;Setup!$C$7,"",IF(12=Setup!$C$7,"This month, so far",IF(F18&gt;=0,"Ahead","Behind")))</f>
        <v/>
      </c>
    </row>
    <row r="20" ht="48" customHeight="1">
      <c r="A20" s="17" t="inlineStr">
        <is>
          <t>Quarter</t>
        </is>
      </c>
      <c r="B20" s="17" t="inlineStr">
        <is>
          <t>Target</t>
        </is>
      </c>
      <c r="C20" s="17" t="inlineStr">
        <is>
          <t>Actual so far</t>
        </is>
      </c>
      <c r="D20" s="17" t="inlineStr">
        <is>
          <t>Ahead (+) or behind (−)</t>
        </is>
      </c>
      <c r="E20" s="17" t="inlineStr">
        <is>
          <t>Status</t>
        </is>
      </c>
      <c r="F20" s="35" t="inlineStr"/>
      <c r="G20" s="35" t="inlineStr"/>
    </row>
    <row r="21" ht="21" customHeight="1">
      <c r="A21" s="15">
        <f>"Q1"</f>
        <v/>
      </c>
      <c r="B21" s="27">
        <f>SUM(B7:B9)</f>
        <v/>
      </c>
      <c r="C21" s="27">
        <f>IF(1&gt;Setup!$C$7,"",SUMIF(C7:C9,"&lt;&gt;#N/A"))</f>
        <v/>
      </c>
      <c r="D21" s="27">
        <f>IF(3&gt;=Setup!$C$7,"",C21-B21)</f>
        <v/>
      </c>
      <c r="E21" s="15">
        <f>IF(1&gt;Setup!$C$7,"",IF(3&gt;=Setup!$C$7,"In progress",IF(D21&gt;=0,"Ahead","Behind")))</f>
        <v/>
      </c>
      <c r="F21" s="36" t="n"/>
      <c r="G21" s="36" t="n"/>
    </row>
    <row r="22" ht="21" customHeight="1">
      <c r="A22" s="15">
        <f>"Q2"</f>
        <v/>
      </c>
      <c r="B22" s="27">
        <f>SUM(B10:B12)</f>
        <v/>
      </c>
      <c r="C22" s="27">
        <f>IF(4&gt;Setup!$C$7,"",SUMIF(C10:C12,"&lt;&gt;#N/A"))</f>
        <v/>
      </c>
      <c r="D22" s="27">
        <f>IF(6&gt;=Setup!$C$7,"",C22-B22)</f>
        <v/>
      </c>
      <c r="E22" s="15">
        <f>IF(4&gt;Setup!$C$7,"",IF(6&gt;=Setup!$C$7,"In progress",IF(D22&gt;=0,"Ahead","Behind")))</f>
        <v/>
      </c>
      <c r="F22" s="36" t="n"/>
      <c r="G22" s="36" t="n"/>
    </row>
    <row r="23" ht="21" customHeight="1">
      <c r="A23" s="15">
        <f>"Q3"</f>
        <v/>
      </c>
      <c r="B23" s="27">
        <f>SUM(B13:B15)</f>
        <v/>
      </c>
      <c r="C23" s="27">
        <f>IF(7&gt;Setup!$C$7,"",SUMIF(C13:C15,"&lt;&gt;#N/A"))</f>
        <v/>
      </c>
      <c r="D23" s="27">
        <f>IF(9&gt;=Setup!$C$7,"",C23-B23)</f>
        <v/>
      </c>
      <c r="E23" s="15">
        <f>IF(7&gt;Setup!$C$7,"",IF(9&gt;=Setup!$C$7,"In progress",IF(D23&gt;=0,"Ahead","Behind")))</f>
        <v/>
      </c>
      <c r="F23" s="36" t="n"/>
      <c r="G23" s="36" t="n"/>
    </row>
    <row r="24" ht="21" customHeight="1">
      <c r="A24" s="15">
        <f>"Q4"</f>
        <v/>
      </c>
      <c r="B24" s="27">
        <f>SUM(B16:B18)</f>
        <v/>
      </c>
      <c r="C24" s="27">
        <f>IF(10&gt;Setup!$C$7,"",SUMIF(C16:C18,"&lt;&gt;#N/A"))</f>
        <v/>
      </c>
      <c r="D24" s="27">
        <f>IF(12&gt;=Setup!$C$7,"",C24-B24)</f>
        <v/>
      </c>
      <c r="E24" s="15">
        <f>IF(10&gt;Setup!$C$7,"",IF(12&gt;=Setup!$C$7,"In progress",IF(D24&gt;=0,"Ahead","Behind")))</f>
        <v/>
      </c>
      <c r="F24" s="36" t="n"/>
      <c r="G24" s="36" t="n"/>
    </row>
  </sheetData>
  <mergeCells count="2">
    <mergeCell ref="A2:G2"/>
    <mergeCell ref="A1:G1"/>
  </mergeCells>
  <conditionalFormatting sqref="C7:C18">
    <cfRule type="expression" priority="1" dxfId="3">
      <formula>ISNA(C7)</formula>
    </cfRule>
  </conditionalFormatting>
  <conditionalFormatting sqref="E7:E18">
    <cfRule type="expression" priority="2" dxfId="3">
      <formula>ISNA(E7)</formula>
    </cfRule>
  </conditionalFormatting>
  <conditionalFormatting sqref="G7:G18">
    <cfRule type="expression" priority="3" dxfId="1" stopIfTrue="1">
      <formula>LEFT(G7,5)="Short"</formula>
    </cfRule>
    <cfRule type="expression" priority="4" dxfId="1" stopIfTrue="1">
      <formula>LEFT(G7,6)="Behind"</formula>
    </cfRule>
    <cfRule type="expression" priority="5" dxfId="2" stopIfTrue="1">
      <formula>OR(LEFT(G7,5)="Ahead",LEFT(G7,7)="Covered",LEFT(G7,5)="On pa")</formula>
    </cfRule>
  </conditionalFormatting>
  <conditionalFormatting sqref="E21:E24">
    <cfRule type="expression" priority="6" dxfId="1" stopIfTrue="1">
      <formula>LEFT(E21,5)="Short"</formula>
    </cfRule>
    <cfRule type="expression" priority="7" dxfId="1" stopIfTrue="1">
      <formula>LEFT(E21,6)="Behind"</formula>
    </cfRule>
    <cfRule type="expression" priority="8" dxfId="2" stopIfTrue="1">
      <formula>OR(LEFT(E21,5)="Ahead",LEFT(E21,7)="Covered",LEFT(E21,5)="On pa")</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2026-10-22T19:31:22Z</dcterms:created>
  <dcterms:modified xmlns:dcterms="http://purl.org/dc/terms/" xmlns:xsi="http://www.w3.org/2001/XMLSchema-instance" xsi:type="dcterms:W3CDTF">2026-10-22T19:31:23Z</dcterms:modified>
</cp:coreProperties>
</file>